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suy\Downloads\"/>
    </mc:Choice>
  </mc:AlternateContent>
  <xr:revisionPtr revIDLastSave="0" documentId="13_ncr:1_{8BCF1BC1-B0F9-4452-BE87-CF6B53C8FA32}" xr6:coauthVersionLast="47" xr6:coauthVersionMax="47" xr10:uidLastSave="{00000000-0000-0000-0000-000000000000}"/>
  <bookViews>
    <workbookView xWindow="-120" yWindow="-120" windowWidth="29040" windowHeight="15720" tabRatio="767" xr2:uid="{360DD7B3-AD59-4E6A-8BE1-6DE3646E4246}"/>
  </bookViews>
  <sheets>
    <sheet name="Summary" sheetId="6" r:id="rId1"/>
    <sheet name="SMR_comparison" sheetId="1" r:id="rId2"/>
    <sheet name="AssumptionsConversionFactors" sheetId="4" r:id="rId3"/>
    <sheet name="SourceData" sheetId="3" r:id="rId4"/>
    <sheet name="Sources" sheetId="2" r:id="rId5"/>
    <sheet name="GraphingValue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7" l="1"/>
  <c r="W17" i="1"/>
  <c r="K17" i="1"/>
  <c r="H17" i="1"/>
  <c r="E51" i="3"/>
  <c r="B15" i="2"/>
  <c r="F17" i="1"/>
  <c r="O9" i="7" l="1"/>
  <c r="O10" i="7" l="1"/>
  <c r="P10" i="7" s="1"/>
  <c r="F13" i="1"/>
  <c r="F12" i="1"/>
  <c r="F11" i="1"/>
  <c r="F10" i="1"/>
  <c r="F9" i="1"/>
  <c r="F8" i="1"/>
  <c r="F7" i="1"/>
  <c r="F6" i="1"/>
  <c r="F5" i="1"/>
  <c r="D8" i="4"/>
  <c r="D9" i="4"/>
  <c r="B10" i="2"/>
  <c r="B4" i="2" l="1"/>
  <c r="G8" i="7"/>
  <c r="P8" i="7" s="1"/>
  <c r="B17" i="4"/>
  <c r="J21" i="1" l="1"/>
  <c r="G21" i="1"/>
  <c r="F9" i="6" s="1"/>
  <c r="D9" i="7" s="1"/>
  <c r="C9" i="7" s="1"/>
  <c r="E7" i="3"/>
  <c r="E6" i="3"/>
  <c r="E12" i="3"/>
  <c r="E10" i="3"/>
  <c r="E9" i="3"/>
  <c r="E5" i="3"/>
  <c r="E13" i="3"/>
  <c r="E8" i="3"/>
  <c r="E11" i="3"/>
  <c r="B5" i="2"/>
  <c r="F19" i="1"/>
  <c r="B6" i="2" l="1"/>
  <c r="B7" i="2" s="1"/>
  <c r="K9" i="3"/>
  <c r="K6" i="3"/>
  <c r="H8" i="3"/>
  <c r="N9" i="3"/>
  <c r="N7" i="3"/>
  <c r="N5" i="3"/>
  <c r="K8" i="3"/>
  <c r="H9" i="3"/>
  <c r="K7" i="3"/>
  <c r="K5" i="3"/>
  <c r="H5" i="3"/>
  <c r="H6" i="3"/>
  <c r="H7" i="3"/>
  <c r="Q15" i="3"/>
  <c r="N8" i="3"/>
  <c r="N6" i="3"/>
  <c r="B4" i="4"/>
  <c r="B8" i="2" l="1"/>
  <c r="F19" i="3"/>
  <c r="F22" i="3"/>
  <c r="F23" i="3"/>
  <c r="F21" i="3"/>
  <c r="F20" i="3"/>
  <c r="V20" i="1"/>
  <c r="S20" i="1"/>
  <c r="S21" i="1" s="1"/>
  <c r="P20" i="1"/>
  <c r="H13" i="1"/>
  <c r="K12" i="1"/>
  <c r="H11" i="1"/>
  <c r="K10" i="1"/>
  <c r="K8" i="1"/>
  <c r="K6" i="1"/>
  <c r="H5" i="1"/>
  <c r="F5" i="6" s="1"/>
  <c r="J16" i="1"/>
  <c r="G16" i="1"/>
  <c r="B12" i="4"/>
  <c r="D20" i="3" s="1"/>
  <c r="S19" i="1" s="1"/>
  <c r="V18" i="1"/>
  <c r="V6" i="1"/>
  <c r="V7" i="1"/>
  <c r="V8" i="1"/>
  <c r="V9" i="1"/>
  <c r="V5" i="1"/>
  <c r="S7" i="1"/>
  <c r="I7" i="7" s="1"/>
  <c r="S8" i="1"/>
  <c r="S9" i="1"/>
  <c r="K7" i="7" s="1"/>
  <c r="S6" i="1"/>
  <c r="S5" i="1"/>
  <c r="G7" i="7" s="1"/>
  <c r="P7" i="1"/>
  <c r="I6" i="7" s="1"/>
  <c r="P8" i="1"/>
  <c r="P9" i="1"/>
  <c r="K6" i="7" s="1"/>
  <c r="P5" i="1"/>
  <c r="G6" i="7" s="1"/>
  <c r="P6" i="1"/>
  <c r="M7" i="1"/>
  <c r="M8" i="1"/>
  <c r="M9" i="1"/>
  <c r="M6" i="1"/>
  <c r="M5" i="1"/>
  <c r="N5" i="1" s="1"/>
  <c r="C5" i="6" s="1"/>
  <c r="B9" i="2" l="1"/>
  <c r="D14" i="4"/>
  <c r="D13" i="4"/>
  <c r="H7" i="1"/>
  <c r="F6" i="6" s="1"/>
  <c r="I8" i="7"/>
  <c r="H9" i="1"/>
  <c r="F7" i="6" s="1"/>
  <c r="K8" i="7"/>
  <c r="F20" i="1"/>
  <c r="F21" i="1" s="1"/>
  <c r="V21" i="1"/>
  <c r="P21" i="1"/>
  <c r="C7" i="7" s="1"/>
  <c r="C8" i="7"/>
  <c r="K9" i="1"/>
  <c r="T9" i="1"/>
  <c r="T7" i="1"/>
  <c r="V16" i="1"/>
  <c r="K7" i="1"/>
  <c r="W9" i="1"/>
  <c r="N9" i="1"/>
  <c r="C7" i="6" s="1"/>
  <c r="P16" i="1"/>
  <c r="Q9" i="1"/>
  <c r="M16" i="1"/>
  <c r="S16" i="1"/>
  <c r="K13" i="1"/>
  <c r="H12" i="1"/>
  <c r="K11" i="1"/>
  <c r="H10" i="1"/>
  <c r="W8" i="1"/>
  <c r="N8" i="1"/>
  <c r="H8" i="1"/>
  <c r="Q8" i="1"/>
  <c r="T8" i="1"/>
  <c r="N7" i="1"/>
  <c r="C6" i="6" s="1"/>
  <c r="W7" i="1"/>
  <c r="Q7" i="1"/>
  <c r="W6" i="1"/>
  <c r="T6" i="1"/>
  <c r="N6" i="1"/>
  <c r="Q6" i="1"/>
  <c r="H6" i="1"/>
  <c r="T5" i="1"/>
  <c r="W5" i="1"/>
  <c r="Q5" i="1"/>
  <c r="F16" i="1"/>
  <c r="K5" i="1"/>
  <c r="D23" i="3"/>
  <c r="J19" i="1" s="1"/>
  <c r="K19" i="1" s="1"/>
  <c r="D19" i="3"/>
  <c r="D22" i="3"/>
  <c r="G19" i="1" s="1"/>
  <c r="H19" i="1" s="1"/>
  <c r="D21" i="3"/>
  <c r="O7" i="7" l="1"/>
  <c r="P7" i="7" s="1"/>
  <c r="T17" i="1"/>
  <c r="O6" i="7"/>
  <c r="P6" i="7" s="1"/>
  <c r="Q17" i="1"/>
  <c r="N17" i="1"/>
  <c r="N16" i="1"/>
  <c r="P19" i="1"/>
  <c r="Q19" i="1" s="1"/>
  <c r="D8" i="6" s="1"/>
  <c r="E45" i="3"/>
  <c r="E44" i="3"/>
  <c r="E43" i="3"/>
  <c r="C6" i="7"/>
  <c r="D6" i="7" s="1"/>
  <c r="W21" i="1"/>
  <c r="D5" i="6"/>
  <c r="H6" i="7"/>
  <c r="L7" i="7"/>
  <c r="E7" i="6"/>
  <c r="D8" i="7"/>
  <c r="E9" i="6"/>
  <c r="D7" i="7"/>
  <c r="D9" i="6"/>
  <c r="J7" i="7"/>
  <c r="E6" i="6"/>
  <c r="E5" i="6"/>
  <c r="H7" i="7"/>
  <c r="L6" i="7"/>
  <c r="D7" i="6"/>
  <c r="J6" i="7"/>
  <c r="D6" i="6"/>
  <c r="Q20" i="1"/>
  <c r="T20" i="1"/>
  <c r="W20" i="1"/>
  <c r="T21" i="1"/>
  <c r="Q21" i="1"/>
  <c r="T19" i="1"/>
  <c r="E8" i="6" s="1"/>
  <c r="W16" i="1"/>
  <c r="H16" i="1"/>
  <c r="T16" i="1"/>
  <c r="Q16" i="1"/>
  <c r="K16" i="1"/>
  <c r="B11" i="2" l="1"/>
  <c r="E48" i="3"/>
  <c r="B12" i="2" l="1"/>
  <c r="D5" i="4"/>
  <c r="B13" i="2" l="1"/>
  <c r="D3" i="4"/>
  <c r="B14" i="2" l="1"/>
  <c r="D36" i="3"/>
  <c r="D35" i="3"/>
  <c r="D34" i="3"/>
  <c r="D33" i="3"/>
  <c r="D39" i="3"/>
  <c r="D37" i="3"/>
  <c r="D38" i="3"/>
  <c r="D29" i="3" l="1"/>
  <c r="D28" i="3"/>
</calcChain>
</file>

<file path=xl/sharedStrings.xml><?xml version="1.0" encoding="utf-8"?>
<sst xmlns="http://schemas.openxmlformats.org/spreadsheetml/2006/main" count="318" uniqueCount="150">
  <si>
    <t>Assumptions</t>
  </si>
  <si>
    <t>Conversion factors</t>
  </si>
  <si>
    <t>MJ/kg</t>
  </si>
  <si>
    <t>https://h2tools.org/hyarc/calculator-tools/lower-and-higher-heating-values-fuels</t>
  </si>
  <si>
    <t>Value</t>
  </si>
  <si>
    <t>unit</t>
  </si>
  <si>
    <t>source</t>
  </si>
  <si>
    <t>g/lb</t>
  </si>
  <si>
    <t>PEM system specific consumption</t>
  </si>
  <si>
    <t>kWh/kg</t>
  </si>
  <si>
    <t>value</t>
  </si>
  <si>
    <t>kg/MWh</t>
  </si>
  <si>
    <t>pounds to grams</t>
  </si>
  <si>
    <t>CO2</t>
  </si>
  <si>
    <t>CH4</t>
  </si>
  <si>
    <t>N2O</t>
  </si>
  <si>
    <t>NOx</t>
  </si>
  <si>
    <t>SO2</t>
  </si>
  <si>
    <t>PM2.5</t>
  </si>
  <si>
    <t>PM10</t>
  </si>
  <si>
    <t>VOC</t>
  </si>
  <si>
    <t>Hg</t>
  </si>
  <si>
    <t>Nuclear waste</t>
  </si>
  <si>
    <t>SMR</t>
  </si>
  <si>
    <t>mg/MWh</t>
  </si>
  <si>
    <t>U.S. Grid</t>
  </si>
  <si>
    <t>Coal</t>
  </si>
  <si>
    <t>Gas</t>
  </si>
  <si>
    <t>Nuclear</t>
  </si>
  <si>
    <t>Wind</t>
  </si>
  <si>
    <t>PV</t>
  </si>
  <si>
    <t>lb/MWh</t>
  </si>
  <si>
    <t>https://pubs.acs.org/doi/10.1021/acs.est.8b06197</t>
  </si>
  <si>
    <t>n/a</t>
  </si>
  <si>
    <t>https://www.scientificamerican.com/article/nuclear-waste-lethal-trash-or-renewable-energy-source/</t>
  </si>
  <si>
    <t>Nuclear waste and emissions from electricity generation by fuel type</t>
  </si>
  <si>
    <t>Natural gas</t>
  </si>
  <si>
    <t>m3/GJ</t>
  </si>
  <si>
    <t>gal/MWh</t>
  </si>
  <si>
    <t>CT</t>
  </si>
  <si>
    <t>CC</t>
  </si>
  <si>
    <t>https://iopscience.iop.org/article/10.1088/1748-9326/9/10/105002/pdf</t>
  </si>
  <si>
    <t>Source</t>
  </si>
  <si>
    <t>cubic meters to gallons</t>
  </si>
  <si>
    <t>gal/m3</t>
  </si>
  <si>
    <t>GJ/MWh</t>
  </si>
  <si>
    <t>MWh to GJ</t>
  </si>
  <si>
    <t>CO</t>
  </si>
  <si>
    <t>Individual emissions</t>
  </si>
  <si>
    <t>CO2, CH4, N2O</t>
  </si>
  <si>
    <t>Radioactive waste</t>
  </si>
  <si>
    <t>Consumptive water use</t>
  </si>
  <si>
    <t>Efficiency of fuel use</t>
  </si>
  <si>
    <t>kg/kg H2</t>
  </si>
  <si>
    <t>mg/kg H2</t>
  </si>
  <si>
    <t>L H2O/kg H2</t>
  </si>
  <si>
    <t>x</t>
  </si>
  <si>
    <t>∞</t>
  </si>
  <si>
    <t>mt CO2e/mt CH4</t>
  </si>
  <si>
    <t>https://www.epa.gov/energy/greenhouse-gas-equivalencies-calculator#results</t>
  </si>
  <si>
    <t>GHG CO2 equivalent of NO2</t>
  </si>
  <si>
    <t>GHG CO2 equivalent of CH4</t>
  </si>
  <si>
    <t>mt CO2e/mt NO2</t>
  </si>
  <si>
    <t>kg CO2e/kg H2</t>
  </si>
  <si>
    <t>gallons to liters</t>
  </si>
  <si>
    <t>l/gal</t>
  </si>
  <si>
    <t>g/MJ H2</t>
  </si>
  <si>
    <t>mg/MJ H2</t>
  </si>
  <si>
    <t>Fuel and technology type to produce H2</t>
  </si>
  <si>
    <t>Fuel</t>
  </si>
  <si>
    <t>https://www.eia.gov/electricity/annual/html/epa_08_01.html</t>
  </si>
  <si>
    <t>Btu/kWh</t>
  </si>
  <si>
    <t>Fuel required</t>
  </si>
  <si>
    <t>Btu/kg H2</t>
  </si>
  <si>
    <t>HHV H2</t>
  </si>
  <si>
    <t>Btu/kg</t>
  </si>
  <si>
    <t>Natural gas SMR</t>
  </si>
  <si>
    <t>MMBtu/MMBtu H2</t>
  </si>
  <si>
    <t>Solid Oxide system specific consumption</t>
  </si>
  <si>
    <t>GHG CO2 equivalent</t>
  </si>
  <si>
    <t>https://assets.siemens-energy.com/siemens/assets/api/uuid:a193b68f-7ab4-4536-abe2-c23e01d0b526/datasheet-silyzer300.pdf</t>
  </si>
  <si>
    <t>Consumptive water use by hydrogen production technology</t>
  </si>
  <si>
    <t>Coal gassifcation</t>
  </si>
  <si>
    <t>L/kg H2</t>
  </si>
  <si>
    <t>Natural gas - SMR</t>
  </si>
  <si>
    <t>Coal gassification - CCUS</t>
  </si>
  <si>
    <t>Natural gas - SMR - CCUS</t>
  </si>
  <si>
    <t>Natural gas - ATR - CCUS</t>
  </si>
  <si>
    <t>Electrolysis - Alkaline</t>
  </si>
  <si>
    <t>Electrolysis - PEM</t>
  </si>
  <si>
    <t>https://www.irena.org/Publications/2023/Dec/Water-for-hydrogen-production</t>
  </si>
  <si>
    <t>https://iopscience.iop.org/article/10.1088/1748-9326/8/1/015031/pdf</t>
  </si>
  <si>
    <t>Consumptive water use in a power plant by fuel type</t>
  </si>
  <si>
    <t>Consumptive water use by primary fuel type</t>
  </si>
  <si>
    <t>https://greet.anl.gov/files/smr_h2_2019</t>
  </si>
  <si>
    <t>*Wet cooling assumed for coal, gas, and nuclear</t>
  </si>
  <si>
    <t>Energy required to produce H2</t>
  </si>
  <si>
    <t>SMR*</t>
  </si>
  <si>
    <t>Individual emissions compared to SMR without CCS</t>
  </si>
  <si>
    <t>https://www.hydrogen.energy.gov/docs/hydrogenprogramlibraries/pdfs/progress19/ins_ta019_ghezel-ayagh_2019.pdf</t>
  </si>
  <si>
    <t>mercury</t>
  </si>
  <si>
    <t>type</t>
  </si>
  <si>
    <t>kWh to Btu</t>
  </si>
  <si>
    <t>Wind and solar</t>
  </si>
  <si>
    <t>H2 energy/unit of mass (HHV)</t>
  </si>
  <si>
    <t>Steam Methane Reformer (SMR)</t>
  </si>
  <si>
    <t>Waste %</t>
  </si>
  <si>
    <t>Hydrogen %</t>
  </si>
  <si>
    <t>Natural Gas Combined Cycle</t>
  </si>
  <si>
    <t>Wind &amp; Solar</t>
  </si>
  <si>
    <t>Emissions comparisons</t>
  </si>
  <si>
    <t>Carbon dioxide</t>
  </si>
  <si>
    <t>Nitrous oxide</t>
  </si>
  <si>
    <t>Sulphur dioxide</t>
  </si>
  <si>
    <t>NGCC</t>
  </si>
  <si>
    <t>multiple</t>
  </si>
  <si>
    <t>45V PTC</t>
  </si>
  <si>
    <t>$3 PTC emissions threshold</t>
  </si>
  <si>
    <t>kg CO2e / kg H2</t>
  </si>
  <si>
    <t>CO2e relative to $3 PTC</t>
  </si>
  <si>
    <t>This effort to compare emissions was assembled in 2023 and 2024. Different data sources and assumptions may lead to different results.</t>
  </si>
  <si>
    <t>H2 energy/unit of mass (LHV)</t>
  </si>
  <si>
    <t>Emissions of a conventional Steam Methane Reformer (SMR) compared to emissions from Electrolyzers driven by different types of power plants</t>
  </si>
  <si>
    <t>* SMR without CCUS</t>
  </si>
  <si>
    <t>***</t>
  </si>
  <si>
    <t>Consumptive water use **</t>
  </si>
  <si>
    <t>*** efficiency of electricity conversion by the electrolyzer</t>
  </si>
  <si>
    <t>** includes water consumption by the electrolyzer plant</t>
  </si>
  <si>
    <t>Conventional</t>
  </si>
  <si>
    <t>PEM electrolyzer powered by:</t>
  </si>
  <si>
    <t>Solid oxide electrolyzer powered by:</t>
  </si>
  <si>
    <t xml:space="preserve">Amount "over the limit" </t>
  </si>
  <si>
    <t>multiple over 0.45</t>
  </si>
  <si>
    <t>45V max incentive threshold</t>
  </si>
  <si>
    <t>Method</t>
  </si>
  <si>
    <t>Energy waste when making hydrogen</t>
  </si>
  <si>
    <t xml:space="preserve">Method </t>
  </si>
  <si>
    <t>Natural Gas</t>
  </si>
  <si>
    <t>Electrolyzer powered by:</t>
  </si>
  <si>
    <t>Emissions from Electrolyzers driven by different types of power plants compared to Emissions from a conventional Steam Methane Reformer (SMR)</t>
  </si>
  <si>
    <t xml:space="preserve"> 43 x </t>
  </si>
  <si>
    <t xml:space="preserve"> 114 x </t>
  </si>
  <si>
    <t xml:space="preserve"> 48 x </t>
  </si>
  <si>
    <t>0 x</t>
  </si>
  <si>
    <t>CO2 emissions relative to legal limit for carbon intensity for $3/kg PTC</t>
  </si>
  <si>
    <t>https://www.energy.gov/eere/fuelcells/financial-incentives-hydrogen-and-fuel-cell-projects</t>
  </si>
  <si>
    <t>CO2e</t>
  </si>
  <si>
    <t>2021 eGRID</t>
  </si>
  <si>
    <t>(2021 eGRID)</t>
  </si>
  <si>
    <t>https://www.epa.gov/system/files/documents/2023-01/eGRID2021_data.xlsx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</si>
</sst>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0.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 (Body)"/>
    </font>
    <font>
      <b/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0" fontId="4" fillId="0" borderId="0" xfId="3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0" fontId="0" fillId="0" borderId="6" xfId="0" applyBorder="1"/>
    <xf numFmtId="43" fontId="0" fillId="0" borderId="7" xfId="1" applyFont="1" applyBorder="1"/>
    <xf numFmtId="43" fontId="0" fillId="0" borderId="0" xfId="1" applyFont="1" applyBorder="1"/>
    <xf numFmtId="43" fontId="0" fillId="0" borderId="8" xfId="1" applyFont="1" applyBorder="1"/>
    <xf numFmtId="43" fontId="0" fillId="0" borderId="0" xfId="1" applyFont="1" applyFill="1" applyBorder="1"/>
    <xf numFmtId="43" fontId="5" fillId="0" borderId="0" xfId="1" applyFont="1" applyBorder="1"/>
    <xf numFmtId="43" fontId="0" fillId="0" borderId="10" xfId="1" applyFont="1" applyBorder="1"/>
    <xf numFmtId="43" fontId="0" fillId="0" borderId="11" xfId="1" applyFont="1" applyBorder="1"/>
    <xf numFmtId="165" fontId="0" fillId="0" borderId="7" xfId="1" applyNumberFormat="1" applyFont="1" applyBorder="1"/>
    <xf numFmtId="43" fontId="0" fillId="0" borderId="0" xfId="1" applyFont="1"/>
    <xf numFmtId="165" fontId="3" fillId="0" borderId="0" xfId="1" applyNumberFormat="1" applyFont="1"/>
    <xf numFmtId="9" fontId="0" fillId="0" borderId="9" xfId="2" applyFont="1" applyBorder="1"/>
    <xf numFmtId="165" fontId="6" fillId="0" borderId="0" xfId="1" applyNumberFormat="1" applyFont="1" applyBorder="1" applyAlignment="1">
      <alignment horizontal="left" indent="1"/>
    </xf>
    <xf numFmtId="164" fontId="6" fillId="0" borderId="0" xfId="1" applyNumberFormat="1" applyFont="1" applyBorder="1" applyAlignment="1">
      <alignment horizontal="left" indent="3"/>
    </xf>
    <xf numFmtId="165" fontId="6" fillId="0" borderId="0" xfId="1" applyNumberFormat="1" applyFont="1" applyBorder="1" applyAlignment="1">
      <alignment horizontal="left" indent="3"/>
    </xf>
    <xf numFmtId="165" fontId="2" fillId="0" borderId="0" xfId="1" applyNumberFormat="1" applyFont="1" applyBorder="1" applyAlignment="1">
      <alignment horizontal="left" indent="3"/>
    </xf>
    <xf numFmtId="164" fontId="6" fillId="0" borderId="0" xfId="1" applyNumberFormat="1" applyFont="1" applyBorder="1"/>
    <xf numFmtId="165" fontId="6" fillId="0" borderId="0" xfId="1" applyNumberFormat="1" applyFont="1" applyBorder="1"/>
    <xf numFmtId="0" fontId="4" fillId="0" borderId="0" xfId="3"/>
    <xf numFmtId="0" fontId="0" fillId="2" borderId="8" xfId="0" applyFill="1" applyBorder="1"/>
    <xf numFmtId="43" fontId="0" fillId="2" borderId="7" xfId="1" applyFont="1" applyFill="1" applyBorder="1"/>
    <xf numFmtId="43" fontId="0" fillId="2" borderId="0" xfId="1" applyFont="1" applyFill="1" applyBorder="1"/>
    <xf numFmtId="43" fontId="0" fillId="2" borderId="8" xfId="1" applyFont="1" applyFill="1" applyBorder="1"/>
    <xf numFmtId="164" fontId="6" fillId="2" borderId="0" xfId="1" applyNumberFormat="1" applyFont="1" applyFill="1" applyBorder="1" applyAlignment="1">
      <alignment horizontal="left" indent="3"/>
    </xf>
    <xf numFmtId="164" fontId="6" fillId="2" borderId="0" xfId="1" applyNumberFormat="1" applyFont="1" applyFill="1" applyBorder="1" applyAlignment="1">
      <alignment horizontal="left" indent="1"/>
    </xf>
    <xf numFmtId="164" fontId="6" fillId="2" borderId="0" xfId="1" applyNumberFormat="1" applyFont="1" applyFill="1" applyBorder="1"/>
    <xf numFmtId="165" fontId="6" fillId="2" borderId="0" xfId="1" applyNumberFormat="1" applyFont="1" applyFill="1" applyBorder="1" applyAlignment="1">
      <alignment horizontal="left" indent="3"/>
    </xf>
    <xf numFmtId="165" fontId="6" fillId="2" borderId="0" xfId="1" applyNumberFormat="1" applyFont="1" applyFill="1" applyBorder="1" applyAlignment="1">
      <alignment horizontal="left" indent="1"/>
    </xf>
    <xf numFmtId="165" fontId="6" fillId="2" borderId="0" xfId="1" applyNumberFormat="1" applyFont="1" applyFill="1" applyBorder="1"/>
    <xf numFmtId="43" fontId="0" fillId="2" borderId="9" xfId="1" applyFont="1" applyFill="1" applyBorder="1"/>
    <xf numFmtId="43" fontId="0" fillId="2" borderId="10" xfId="1" applyFont="1" applyFill="1" applyBorder="1"/>
    <xf numFmtId="43" fontId="0" fillId="2" borderId="11" xfId="1" applyFont="1" applyFill="1" applyBorder="1"/>
    <xf numFmtId="9" fontId="2" fillId="2" borderId="9" xfId="2" applyFont="1" applyFill="1" applyBorder="1"/>
    <xf numFmtId="43" fontId="2" fillId="2" borderId="0" xfId="1" applyFont="1" applyFill="1" applyBorder="1" applyAlignment="1">
      <alignment horizontal="left" indent="1"/>
    </xf>
    <xf numFmtId="43" fontId="2" fillId="2" borderId="0" xfId="1" applyFont="1" applyFill="1" applyBorder="1"/>
    <xf numFmtId="0" fontId="0" fillId="2" borderId="10" xfId="0" applyFill="1" applyBorder="1"/>
    <xf numFmtId="0" fontId="0" fillId="2" borderId="11" xfId="0" applyFill="1" applyBorder="1"/>
    <xf numFmtId="43" fontId="4" fillId="0" borderId="7" xfId="3" applyNumberFormat="1" applyBorder="1"/>
    <xf numFmtId="166" fontId="0" fillId="0" borderId="0" xfId="2" applyNumberFormat="1" applyFont="1"/>
    <xf numFmtId="167" fontId="0" fillId="0" borderId="0" xfId="0" applyNumberFormat="1"/>
    <xf numFmtId="0" fontId="0" fillId="0" borderId="7" xfId="0" applyBorder="1" applyAlignment="1">
      <alignment vertical="center"/>
    </xf>
    <xf numFmtId="43" fontId="1" fillId="0" borderId="0" xfId="1" applyFont="1" applyFill="1"/>
    <xf numFmtId="43" fontId="3" fillId="0" borderId="0" xfId="1" applyFont="1" applyFill="1"/>
    <xf numFmtId="43" fontId="0" fillId="0" borderId="0" xfId="1" applyFont="1" applyFill="1"/>
    <xf numFmtId="164" fontId="3" fillId="0" borderId="0" xfId="1" applyNumberFormat="1" applyFont="1" applyFill="1"/>
    <xf numFmtId="165" fontId="3" fillId="0" borderId="0" xfId="1" applyNumberFormat="1" applyFont="1" applyFill="1"/>
    <xf numFmtId="165" fontId="0" fillId="0" borderId="0" xfId="1" applyNumberFormat="1" applyFont="1" applyFill="1"/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0" fontId="0" fillId="0" borderId="2" xfId="0" applyBorder="1" applyAlignment="1">
      <alignment horizontal="center" vertical="center"/>
    </xf>
    <xf numFmtId="43" fontId="1" fillId="0" borderId="10" xfId="1" applyFont="1" applyBorder="1"/>
    <xf numFmtId="43" fontId="0" fillId="0" borderId="8" xfId="0" applyNumberFormat="1" applyBorder="1"/>
    <xf numFmtId="0" fontId="0" fillId="0" borderId="1" xfId="0" applyBorder="1" applyAlignment="1">
      <alignment horizontal="center" vertical="center"/>
    </xf>
    <xf numFmtId="43" fontId="0" fillId="0" borderId="6" xfId="0" applyNumberFormat="1" applyBorder="1"/>
    <xf numFmtId="0" fontId="0" fillId="0" borderId="3" xfId="0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wrapText="1"/>
    </xf>
    <xf numFmtId="43" fontId="3" fillId="0" borderId="0" xfId="1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6" fillId="2" borderId="8" xfId="1" applyFont="1" applyFill="1" applyBorder="1"/>
    <xf numFmtId="165" fontId="6" fillId="0" borderId="8" xfId="1" applyNumberFormat="1" applyFont="1" applyBorder="1"/>
    <xf numFmtId="165" fontId="6" fillId="2" borderId="8" xfId="1" applyNumberFormat="1" applyFont="1" applyFill="1" applyBorder="1"/>
    <xf numFmtId="164" fontId="0" fillId="0" borderId="0" xfId="1" applyNumberFormat="1" applyFont="1" applyBorder="1" applyAlignment="1">
      <alignment horizontal="right"/>
    </xf>
    <xf numFmtId="165" fontId="0" fillId="0" borderId="8" xfId="1" applyNumberFormat="1" applyFont="1" applyBorder="1"/>
    <xf numFmtId="9" fontId="6" fillId="2" borderId="11" xfId="2" applyFont="1" applyFill="1" applyBorder="1"/>
    <xf numFmtId="0" fontId="0" fillId="0" borderId="0" xfId="0" applyAlignment="1">
      <alignment vertical="center"/>
    </xf>
    <xf numFmtId="0" fontId="0" fillId="2" borderId="0" xfId="0" applyFill="1"/>
    <xf numFmtId="0" fontId="0" fillId="0" borderId="14" xfId="0" applyBorder="1"/>
    <xf numFmtId="0" fontId="7" fillId="0" borderId="12" xfId="0" applyFont="1" applyBorder="1" applyAlignment="1">
      <alignment horizontal="left" vertical="center"/>
    </xf>
    <xf numFmtId="0" fontId="2" fillId="0" borderId="12" xfId="0" applyFont="1" applyBorder="1"/>
    <xf numFmtId="0" fontId="2" fillId="0" borderId="13" xfId="0" applyFont="1" applyBorder="1"/>
    <xf numFmtId="0" fontId="0" fillId="0" borderId="10" xfId="0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9" fontId="0" fillId="0" borderId="7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10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3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9" fontId="0" fillId="0" borderId="6" xfId="2" applyFont="1" applyBorder="1" applyAlignment="1">
      <alignment horizontal="right"/>
    </xf>
    <xf numFmtId="165" fontId="0" fillId="0" borderId="7" xfId="1" applyNumberFormat="1" applyFont="1" applyFill="1" applyBorder="1" applyAlignment="1">
      <alignment horizontal="right"/>
    </xf>
    <xf numFmtId="164" fontId="12" fillId="0" borderId="9" xfId="0" applyNumberFormat="1" applyFont="1" applyBorder="1" applyAlignment="1">
      <alignment horizontal="center" vertical="center"/>
    </xf>
    <xf numFmtId="9" fontId="6" fillId="0" borderId="0" xfId="2" applyFont="1" applyFill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65" fontId="0" fillId="0" borderId="4" xfId="1" applyNumberFormat="1" applyFont="1" applyFill="1" applyBorder="1" applyAlignment="1">
      <alignment horizontal="center" vertical="center"/>
    </xf>
    <xf numFmtId="165" fontId="0" fillId="0" borderId="5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9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ia.gov/electricity/annual/html/epa_08_01.html" TargetMode="External"/><Relationship Id="rId2" Type="http://schemas.openxmlformats.org/officeDocument/2006/relationships/hyperlink" Target="https://iopscience.iop.org/article/10.1088/1748-9326/9/10/105002/pdf" TargetMode="External"/><Relationship Id="rId1" Type="http://schemas.openxmlformats.org/officeDocument/2006/relationships/hyperlink" Target="https://pubs.acs.org/doi/10.1021/acs.est.8b06197" TargetMode="External"/><Relationship Id="rId5" Type="http://schemas.openxmlformats.org/officeDocument/2006/relationships/hyperlink" Target="https://www.hydrogen.energy.gov/docs/hydrogenprogramlibraries/pdfs/progress19/ins_ta019_ghezel-ayagh_2019.pdf" TargetMode="External"/><Relationship Id="rId4" Type="http://schemas.openxmlformats.org/officeDocument/2006/relationships/hyperlink" Target="https://assets.siemens-energy.com/siemens/assets/api/uuid:a193b68f-7ab4-4536-abe2-c23e01d0b526/datasheet-silyzer3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5A141-FEDD-D942-B01D-AB7DAD7449EF}">
  <dimension ref="A2:F11"/>
  <sheetViews>
    <sheetView tabSelected="1" zoomScaleNormal="100" workbookViewId="0">
      <selection activeCell="B22" sqref="B22"/>
    </sheetView>
  </sheetViews>
  <sheetFormatPr defaultColWidth="11.42578125" defaultRowHeight="15"/>
  <cols>
    <col min="1" max="1" width="2.85546875" customWidth="1"/>
    <col min="2" max="2" width="29.140625" customWidth="1"/>
    <col min="4" max="4" width="12.28515625" customWidth="1"/>
    <col min="5" max="6" width="12.7109375" customWidth="1"/>
  </cols>
  <sheetData>
    <row r="2" spans="1:6" ht="87" customHeight="1">
      <c r="B2" s="146" t="s">
        <v>139</v>
      </c>
      <c r="C2" s="147"/>
      <c r="D2" s="147"/>
      <c r="E2" s="147"/>
      <c r="F2" s="147"/>
    </row>
    <row r="3" spans="1:6" ht="18" customHeight="1">
      <c r="B3" s="141" t="s">
        <v>98</v>
      </c>
      <c r="C3" s="143" t="s">
        <v>138</v>
      </c>
      <c r="D3" s="144"/>
      <c r="E3" s="144"/>
      <c r="F3" s="145"/>
    </row>
    <row r="4" spans="1:6" ht="35.1" customHeight="1">
      <c r="B4" s="142"/>
      <c r="C4" s="123" t="s">
        <v>25</v>
      </c>
      <c r="D4" s="123" t="s">
        <v>26</v>
      </c>
      <c r="E4" s="123" t="s">
        <v>137</v>
      </c>
      <c r="F4" s="124" t="s">
        <v>103</v>
      </c>
    </row>
    <row r="5" spans="1:6" ht="18.75">
      <c r="A5" s="55"/>
      <c r="B5" s="121" t="s">
        <v>13</v>
      </c>
      <c r="C5" s="133" t="str">
        <f>ROUND(SMR_comparison!N5,1)&amp;" x"</f>
        <v>2.2 x</v>
      </c>
      <c r="D5" s="133" t="str">
        <f>ROUND(SMR_comparison!Q5,1)&amp;" x"</f>
        <v>5.5 x</v>
      </c>
      <c r="E5" s="133" t="str">
        <f>ROUND(SMR_comparison!T5,1)&amp;" x"</f>
        <v>2.3 x</v>
      </c>
      <c r="F5" s="68">
        <f>SMR_comparison!H5</f>
        <v>0</v>
      </c>
    </row>
    <row r="6" spans="1:6" ht="18.75">
      <c r="A6" s="55"/>
      <c r="B6" s="122" t="s">
        <v>16</v>
      </c>
      <c r="C6" s="134" t="str">
        <f>ROUND(SMR_comparison!N7,1)&amp;" x"</f>
        <v>15.9 x</v>
      </c>
      <c r="D6" s="134" t="str">
        <f>ROUND(SMR_comparison!Q7,0)&amp;" x"</f>
        <v>40 x</v>
      </c>
      <c r="E6" s="134" t="str">
        <f>ROUND(SMR_comparison!T7,0)&amp;" x"</f>
        <v>13 x</v>
      </c>
      <c r="F6" s="66">
        <f>SMR_comparison!H7</f>
        <v>0</v>
      </c>
    </row>
    <row r="7" spans="1:6" ht="24" customHeight="1">
      <c r="A7" s="55"/>
      <c r="B7" s="122" t="s">
        <v>17</v>
      </c>
      <c r="C7" s="134" t="str">
        <f>ROUND(SMR_comparison!N9,0)&amp;" x"</f>
        <v>269 x</v>
      </c>
      <c r="D7" s="134" t="str">
        <f>ROUND(SMR_comparison!Q9,0)&amp;" x"</f>
        <v>1014 x</v>
      </c>
      <c r="E7" s="134" t="str">
        <f>ROUND(SMR_comparison!T9,0)&amp;" x"</f>
        <v>11 x</v>
      </c>
      <c r="F7" s="66">
        <f>SMR_comparison!H9</f>
        <v>0</v>
      </c>
    </row>
    <row r="8" spans="1:6" ht="24" customHeight="1">
      <c r="B8" s="67" t="s">
        <v>51</v>
      </c>
      <c r="C8" s="135"/>
      <c r="D8" s="136" t="str">
        <f>ROUND(SMR_comparison!Q19,0)&amp;" x"</f>
        <v>7 x</v>
      </c>
      <c r="E8" s="136" t="str">
        <f>ROUND(SMR_comparison!T19,0)&amp;" x"</f>
        <v>3 x</v>
      </c>
      <c r="F8" s="128"/>
    </row>
    <row r="9" spans="1:6" ht="24.95" customHeight="1">
      <c r="B9" s="64" t="s">
        <v>52</v>
      </c>
      <c r="C9" s="129"/>
      <c r="D9" s="131">
        <f>ROUND(SMR_comparison!P21,2)</f>
        <v>0.24</v>
      </c>
      <c r="E9" s="131">
        <f>ROUND(SMR_comparison!S21,2)</f>
        <v>0.33</v>
      </c>
      <c r="F9" s="132">
        <f>SMR_comparison!G21</f>
        <v>0.75500212856534676</v>
      </c>
    </row>
    <row r="10" spans="1:6" ht="45" customHeight="1">
      <c r="B10" s="125" t="s">
        <v>144</v>
      </c>
      <c r="C10" s="130" t="s">
        <v>140</v>
      </c>
      <c r="D10" s="126" t="s">
        <v>141</v>
      </c>
      <c r="E10" s="126" t="s">
        <v>142</v>
      </c>
      <c r="F10" s="127" t="s">
        <v>143</v>
      </c>
    </row>
    <row r="11" spans="1:6">
      <c r="B11" s="5"/>
      <c r="C11" t="s">
        <v>147</v>
      </c>
    </row>
  </sheetData>
  <mergeCells count="3">
    <mergeCell ref="B3:B4"/>
    <mergeCell ref="C3:F3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3F7E7-4CD3-426A-81AB-D2F029D60D35}">
  <dimension ref="B2:X25"/>
  <sheetViews>
    <sheetView zoomScaleNormal="100" workbookViewId="0">
      <selection activeCell="AG28" sqref="AG28"/>
    </sheetView>
  </sheetViews>
  <sheetFormatPr defaultColWidth="8.85546875" defaultRowHeight="15"/>
  <cols>
    <col min="1" max="1" width="2.85546875" customWidth="1"/>
    <col min="2" max="2" width="1.42578125" customWidth="1"/>
    <col min="3" max="3" width="5" customWidth="1"/>
    <col min="4" max="4" width="19.85546875" customWidth="1"/>
    <col min="5" max="5" width="13.85546875" bestFit="1" customWidth="1"/>
    <col min="6" max="6" width="13.42578125" customWidth="1"/>
    <col min="7" max="7" width="7" bestFit="1" customWidth="1"/>
    <col min="8" max="8" width="6.28515625" customWidth="1"/>
    <col min="9" max="9" width="3.42578125" bestFit="1" customWidth="1"/>
    <col min="10" max="10" width="7" bestFit="1" customWidth="1"/>
    <col min="11" max="11" width="7.42578125" customWidth="1"/>
    <col min="12" max="12" width="3.42578125" bestFit="1" customWidth="1"/>
    <col min="13" max="13" width="10.42578125" bestFit="1" customWidth="1"/>
    <col min="14" max="14" width="11" customWidth="1"/>
    <col min="15" max="15" width="3.42578125" bestFit="1" customWidth="1"/>
    <col min="16" max="16" width="11.42578125" bestFit="1" customWidth="1"/>
    <col min="17" max="17" width="11" bestFit="1" customWidth="1"/>
    <col min="18" max="18" width="3.140625" customWidth="1"/>
    <col min="19" max="19" width="11.42578125" bestFit="1" customWidth="1"/>
    <col min="20" max="20" width="10.85546875" customWidth="1"/>
    <col min="21" max="21" width="3" customWidth="1"/>
    <col min="22" max="22" width="11.42578125" customWidth="1"/>
    <col min="23" max="23" width="7.140625" customWidth="1"/>
    <col min="24" max="24" width="3.42578125" bestFit="1" customWidth="1"/>
  </cols>
  <sheetData>
    <row r="2" spans="2:24" ht="36.950000000000003" customHeight="1">
      <c r="C2" s="154" t="s">
        <v>122</v>
      </c>
      <c r="D2" s="154"/>
      <c r="E2" s="154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</row>
    <row r="3" spans="2:24" ht="30" customHeight="1">
      <c r="B3" s="85"/>
      <c r="C3" s="86"/>
      <c r="D3" s="87"/>
      <c r="E3" s="88"/>
      <c r="F3" s="76" t="s">
        <v>128</v>
      </c>
      <c r="G3" s="148" t="s">
        <v>129</v>
      </c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50"/>
      <c r="V3" s="151" t="s">
        <v>130</v>
      </c>
      <c r="W3" s="152"/>
      <c r="X3" s="153"/>
    </row>
    <row r="4" spans="2:24" ht="23.1" customHeight="1">
      <c r="B4" s="9"/>
      <c r="C4" s="83" t="s">
        <v>48</v>
      </c>
      <c r="E4" s="10"/>
      <c r="F4" s="75" t="s">
        <v>97</v>
      </c>
      <c r="G4" s="73" t="s">
        <v>29</v>
      </c>
      <c r="H4" s="74"/>
      <c r="I4" s="75"/>
      <c r="J4" s="73" t="s">
        <v>30</v>
      </c>
      <c r="K4" s="74"/>
      <c r="L4" s="74"/>
      <c r="M4" s="73" t="s">
        <v>25</v>
      </c>
      <c r="N4" s="140" t="s">
        <v>148</v>
      </c>
      <c r="O4" s="75"/>
      <c r="P4" s="73" t="s">
        <v>26</v>
      </c>
      <c r="Q4" s="140" t="s">
        <v>148</v>
      </c>
      <c r="R4" s="75"/>
      <c r="S4" s="73" t="s">
        <v>36</v>
      </c>
      <c r="T4" s="140" t="s">
        <v>148</v>
      </c>
      <c r="U4" s="75"/>
      <c r="V4" s="73" t="s">
        <v>28</v>
      </c>
      <c r="W4" s="14"/>
      <c r="X4" s="15"/>
    </row>
    <row r="5" spans="2:24" ht="18.75">
      <c r="B5" s="9"/>
      <c r="D5" s="84" t="s">
        <v>13</v>
      </c>
      <c r="E5" s="34" t="s">
        <v>53</v>
      </c>
      <c r="F5" s="77">
        <f>SourceData!C5*AssumptionsConversionFactors!B8*(1/1000)</f>
        <v>9.3256903999999992</v>
      </c>
      <c r="G5" s="35">
        <v>0</v>
      </c>
      <c r="H5" s="36">
        <f>G5/F5</f>
        <v>0</v>
      </c>
      <c r="I5" s="37" t="s">
        <v>56</v>
      </c>
      <c r="J5" s="35">
        <v>0</v>
      </c>
      <c r="K5" s="36">
        <f>J5/F5</f>
        <v>0</v>
      </c>
      <c r="L5" s="36" t="s">
        <v>56</v>
      </c>
      <c r="M5" s="35">
        <f>SourceData!F5*AssumptionsConversionFactors!$B$3*(1/1000)*AssumptionsConversionFactors!$B$11*(1/1000)</f>
        <v>20.180246315400002</v>
      </c>
      <c r="N5" s="38">
        <f>M5/F5</f>
        <v>2.163941268670039</v>
      </c>
      <c r="O5" s="37" t="s">
        <v>56</v>
      </c>
      <c r="P5" s="35">
        <f>SourceData!I5*AssumptionsConversionFactors!$B$3*(1/1000)*AssumptionsConversionFactors!$B$11*(1/1000)</f>
        <v>50.920399042218001</v>
      </c>
      <c r="Q5" s="39">
        <f>P5/F5</f>
        <v>5.4602283432246477</v>
      </c>
      <c r="R5" s="37" t="s">
        <v>56</v>
      </c>
      <c r="S5" s="35">
        <f>SourceData!L5*AssumptionsConversionFactors!$B$3*(1/1000)*AssumptionsConversionFactors!$B$11*(1/1000)</f>
        <v>21.160490592600002</v>
      </c>
      <c r="T5" s="40">
        <f>S5/F5</f>
        <v>2.2690535161450356</v>
      </c>
      <c r="U5" s="18" t="s">
        <v>56</v>
      </c>
      <c r="V5" s="16">
        <f>SourceData!O5*AssumptionsConversionFactors!$B$3*(1/1000)*AssumptionsConversionFactors!$B$11*(1/1000)</f>
        <v>0</v>
      </c>
      <c r="W5" s="17">
        <f>V5/F5</f>
        <v>0</v>
      </c>
      <c r="X5" s="18" t="s">
        <v>56</v>
      </c>
    </row>
    <row r="6" spans="2:24" ht="18.75">
      <c r="B6" s="9"/>
      <c r="D6" t="s">
        <v>14</v>
      </c>
      <c r="E6" s="10" t="s">
        <v>54</v>
      </c>
      <c r="F6" s="78">
        <f>SourceData!C6*AssumptionsConversionFactors!B8</f>
        <v>34.548479999999998</v>
      </c>
      <c r="G6" s="16">
        <v>0</v>
      </c>
      <c r="H6" s="17">
        <f t="shared" ref="H6:H13" si="0">G6/F6</f>
        <v>0</v>
      </c>
      <c r="I6" s="18" t="s">
        <v>56</v>
      </c>
      <c r="J6" s="16">
        <v>0</v>
      </c>
      <c r="K6" s="17">
        <f t="shared" ref="K6:K13" si="1">J6/F6</f>
        <v>0</v>
      </c>
      <c r="L6" s="17" t="s">
        <v>56</v>
      </c>
      <c r="M6" s="16">
        <f>SourceData!F6*AssumptionsConversionFactors!$B$3*(1/1000)*AssumptionsConversionFactors!$B$11*1000</f>
        <v>1681.0952580000001</v>
      </c>
      <c r="N6" s="29">
        <f t="shared" ref="N6:N9" si="2">M6/F6</f>
        <v>48.659022278259421</v>
      </c>
      <c r="O6" s="18" t="s">
        <v>56</v>
      </c>
      <c r="P6" s="16">
        <f>SourceData!I6*AssumptionsConversionFactors!$B$3*(1/1000)*AssumptionsConversionFactors!$B$11*1000</f>
        <v>5668.3690812000004</v>
      </c>
      <c r="Q6" s="27">
        <f t="shared" ref="Q6:Q9" si="3">P6/F6</f>
        <v>164.06999906218741</v>
      </c>
      <c r="R6" s="18" t="s">
        <v>56</v>
      </c>
      <c r="S6" s="16">
        <f>SourceData!L6*AssumptionsConversionFactors!$B$3*(1/1000)*AssumptionsConversionFactors!$B$11*1000</f>
        <v>407.25124560000006</v>
      </c>
      <c r="T6" s="32">
        <f t="shared" ref="T6:T9" si="4">S6/F6</f>
        <v>11.787819481493834</v>
      </c>
      <c r="U6" s="18" t="s">
        <v>56</v>
      </c>
      <c r="V6" s="16">
        <f>SourceData!O6*AssumptionsConversionFactors!$B$3*(1/1000)*AssumptionsConversionFactors!$B$11*1000</f>
        <v>0</v>
      </c>
      <c r="W6" s="17">
        <f t="shared" ref="W6:W9" si="5">V6/F6</f>
        <v>0</v>
      </c>
      <c r="X6" s="18" t="s">
        <v>56</v>
      </c>
    </row>
    <row r="7" spans="2:24" ht="18.75">
      <c r="B7" s="9"/>
      <c r="D7" s="84" t="s">
        <v>16</v>
      </c>
      <c r="E7" s="34" t="s">
        <v>54</v>
      </c>
      <c r="F7" s="79">
        <f>SourceData!C7*AssumptionsConversionFactors!B8</f>
        <v>779.74</v>
      </c>
      <c r="G7" s="35">
        <v>0</v>
      </c>
      <c r="H7" s="36">
        <f t="shared" si="0"/>
        <v>0</v>
      </c>
      <c r="I7" s="37" t="s">
        <v>56</v>
      </c>
      <c r="J7" s="35">
        <v>0</v>
      </c>
      <c r="K7" s="36">
        <f t="shared" si="1"/>
        <v>0</v>
      </c>
      <c r="L7" s="36" t="s">
        <v>56</v>
      </c>
      <c r="M7" s="35">
        <f>SourceData!F7*AssumptionsConversionFactors!$B$3*(1/1000)*AssumptionsConversionFactors!$B$11*1000</f>
        <v>12430.633950000001</v>
      </c>
      <c r="N7" s="41">
        <f t="shared" si="2"/>
        <v>15.942024200374485</v>
      </c>
      <c r="O7" s="37" t="s">
        <v>56</v>
      </c>
      <c r="P7" s="35">
        <f>SourceData!I7*AssumptionsConversionFactors!$B$3*(1/1000)*AssumptionsConversionFactors!$B$11*1000</f>
        <v>31419.907146000005</v>
      </c>
      <c r="Q7" s="42">
        <f t="shared" si="3"/>
        <v>40.295364026470367</v>
      </c>
      <c r="R7" s="37" t="s">
        <v>56</v>
      </c>
      <c r="S7" s="35">
        <f>SourceData!L7*AssumptionsConversionFactors!$B$3*(1/1000)*AssumptionsConversionFactors!$B$11*1000</f>
        <v>9802.4427720000003</v>
      </c>
      <c r="T7" s="43">
        <f t="shared" si="4"/>
        <v>12.571424798009593</v>
      </c>
      <c r="U7" s="18" t="s">
        <v>56</v>
      </c>
      <c r="V7" s="16">
        <f>SourceData!O7*AssumptionsConversionFactors!$B$3*(1/1000)*AssumptionsConversionFactors!$B$11*1000</f>
        <v>0</v>
      </c>
      <c r="W7" s="17">
        <f t="shared" si="5"/>
        <v>0</v>
      </c>
      <c r="X7" s="18" t="s">
        <v>56</v>
      </c>
    </row>
    <row r="8" spans="2:24" ht="18.75">
      <c r="B8" s="9"/>
      <c r="D8" t="s">
        <v>15</v>
      </c>
      <c r="E8" s="10" t="s">
        <v>54</v>
      </c>
      <c r="F8" s="78">
        <f>SourceData!C8*AssumptionsConversionFactors!B8</f>
        <v>5.2782399999999994</v>
      </c>
      <c r="G8" s="16">
        <v>0</v>
      </c>
      <c r="H8" s="17">
        <f t="shared" si="0"/>
        <v>0</v>
      </c>
      <c r="I8" s="18" t="s">
        <v>56</v>
      </c>
      <c r="J8" s="16">
        <v>0</v>
      </c>
      <c r="K8" s="17">
        <f t="shared" si="1"/>
        <v>0</v>
      </c>
      <c r="L8" s="17" t="s">
        <v>56</v>
      </c>
      <c r="M8" s="16">
        <f>SourceData!F8*AssumptionsConversionFactors!$B$3*(1/1000)*AssumptionsConversionFactors!$B$11*1000</f>
        <v>236.77397999999999</v>
      </c>
      <c r="N8" s="29">
        <f t="shared" si="2"/>
        <v>44.858509654733403</v>
      </c>
      <c r="O8" s="18" t="s">
        <v>56</v>
      </c>
      <c r="P8" s="16">
        <f>SourceData!I8*AssumptionsConversionFactors!$B$3*(1/1000)*AssumptionsConversionFactors!$B$11*1000</f>
        <v>823.97345040000005</v>
      </c>
      <c r="Q8" s="27">
        <f t="shared" si="3"/>
        <v>156.10761359847226</v>
      </c>
      <c r="R8" s="18" t="s">
        <v>56</v>
      </c>
      <c r="S8" s="16">
        <f>SourceData!L8*AssumptionsConversionFactors!$B$3*(1/1000)*AssumptionsConversionFactors!$B$11*1000</f>
        <v>42.619316399999995</v>
      </c>
      <c r="T8" s="31">
        <f t="shared" si="4"/>
        <v>8.0745317378520109</v>
      </c>
      <c r="U8" s="18" t="s">
        <v>56</v>
      </c>
      <c r="V8" s="16">
        <f>SourceData!O8*AssumptionsConversionFactors!$B$3*(1/1000)*AssumptionsConversionFactors!$B$11*1000</f>
        <v>0</v>
      </c>
      <c r="W8" s="17">
        <f t="shared" si="5"/>
        <v>0</v>
      </c>
      <c r="X8" s="18" t="s">
        <v>56</v>
      </c>
    </row>
    <row r="9" spans="2:24" ht="18.75">
      <c r="B9" s="9"/>
      <c r="D9" s="84" t="s">
        <v>17</v>
      </c>
      <c r="E9" s="34" t="s">
        <v>54</v>
      </c>
      <c r="F9" s="79">
        <f>SourceData!C9*AssumptionsConversionFactors!B8</f>
        <v>46.784399999999998</v>
      </c>
      <c r="G9" s="35">
        <v>0</v>
      </c>
      <c r="H9" s="36">
        <f t="shared" si="0"/>
        <v>0</v>
      </c>
      <c r="I9" s="37" t="s">
        <v>56</v>
      </c>
      <c r="J9" s="35">
        <v>0</v>
      </c>
      <c r="K9" s="36">
        <f t="shared" si="1"/>
        <v>0</v>
      </c>
      <c r="L9" s="36" t="s">
        <v>56</v>
      </c>
      <c r="M9" s="35">
        <f>SourceData!F9*AssumptionsConversionFactors!$B$3*(1/1000)*AssumptionsConversionFactors!$B$11*1000</f>
        <v>12572.698338000002</v>
      </c>
      <c r="N9" s="41">
        <f t="shared" si="2"/>
        <v>268.73697937774136</v>
      </c>
      <c r="O9" s="37" t="s">
        <v>56</v>
      </c>
      <c r="P9" s="35">
        <f>SourceData!I9*AssumptionsConversionFactors!$B$3*(1/1000)*AssumptionsConversionFactors!$B$11*1000</f>
        <v>47425.828194000002</v>
      </c>
      <c r="Q9" s="42">
        <f t="shared" si="3"/>
        <v>1013.7103007412728</v>
      </c>
      <c r="R9" s="37" t="s">
        <v>56</v>
      </c>
      <c r="S9" s="35">
        <f>SourceData!L9*AssumptionsConversionFactors!$B$3*(1/1000)*AssumptionsConversionFactors!$B$11*1000</f>
        <v>497.22535800000003</v>
      </c>
      <c r="T9" s="43">
        <f t="shared" si="4"/>
        <v>10.628016133582991</v>
      </c>
      <c r="U9" s="18" t="s">
        <v>56</v>
      </c>
      <c r="V9" s="16">
        <f>SourceData!O9*AssumptionsConversionFactors!$B$3*(1/1000)*AssumptionsConversionFactors!$B$11*1000</f>
        <v>0</v>
      </c>
      <c r="W9" s="17">
        <f t="shared" si="5"/>
        <v>0</v>
      </c>
      <c r="X9" s="18" t="s">
        <v>56</v>
      </c>
    </row>
    <row r="10" spans="2:24" ht="18.75">
      <c r="B10" s="9"/>
      <c r="D10" t="s">
        <v>18</v>
      </c>
      <c r="E10" s="10" t="s">
        <v>54</v>
      </c>
      <c r="F10" s="78">
        <f>SourceData!C10*AssumptionsConversionFactors!B8</f>
        <v>241.11959999999996</v>
      </c>
      <c r="G10" s="16">
        <v>0</v>
      </c>
      <c r="H10" s="17">
        <f t="shared" si="0"/>
        <v>0</v>
      </c>
      <c r="I10" s="18" t="s">
        <v>56</v>
      </c>
      <c r="J10" s="16">
        <v>0</v>
      </c>
      <c r="K10" s="17">
        <f t="shared" si="1"/>
        <v>0</v>
      </c>
      <c r="L10" s="17" t="s">
        <v>56</v>
      </c>
      <c r="M10" s="16"/>
      <c r="N10" s="28"/>
      <c r="O10" s="18"/>
      <c r="P10" s="16"/>
      <c r="Q10" s="17"/>
      <c r="R10" s="18"/>
      <c r="S10" s="16"/>
      <c r="T10" s="17"/>
      <c r="U10" s="18"/>
      <c r="V10" s="16"/>
      <c r="W10" s="17"/>
      <c r="X10" s="18"/>
    </row>
    <row r="11" spans="2:24" ht="18.75">
      <c r="B11" s="9"/>
      <c r="D11" t="s">
        <v>19</v>
      </c>
      <c r="E11" s="10" t="s">
        <v>54</v>
      </c>
      <c r="F11" s="78">
        <f>SourceData!C11*AssumptionsConversionFactors!B8</f>
        <v>245.91799999999998</v>
      </c>
      <c r="G11" s="16">
        <v>0</v>
      </c>
      <c r="H11" s="17">
        <f t="shared" si="0"/>
        <v>0</v>
      </c>
      <c r="I11" s="18" t="s">
        <v>56</v>
      </c>
      <c r="J11" s="16">
        <v>0</v>
      </c>
      <c r="K11" s="17">
        <f t="shared" si="1"/>
        <v>0</v>
      </c>
      <c r="L11" s="17" t="s">
        <v>56</v>
      </c>
      <c r="M11" s="52"/>
      <c r="N11" s="30"/>
      <c r="O11" s="18"/>
      <c r="P11" s="16"/>
      <c r="Q11" s="17"/>
      <c r="R11" s="18"/>
      <c r="S11" s="16"/>
      <c r="T11" s="17"/>
      <c r="U11" s="18"/>
      <c r="V11" s="16"/>
      <c r="W11" s="17"/>
      <c r="X11" s="18"/>
    </row>
    <row r="12" spans="2:24" ht="18.75">
      <c r="B12" s="9"/>
      <c r="D12" t="s">
        <v>47</v>
      </c>
      <c r="E12" s="10" t="s">
        <v>54</v>
      </c>
      <c r="F12" s="78">
        <f>SourceData!C12*AssumptionsConversionFactors!B8</f>
        <v>440.25319999999999</v>
      </c>
      <c r="G12" s="16">
        <v>0</v>
      </c>
      <c r="H12" s="17">
        <f t="shared" si="0"/>
        <v>0</v>
      </c>
      <c r="I12" s="18" t="s">
        <v>56</v>
      </c>
      <c r="J12" s="16">
        <v>0</v>
      </c>
      <c r="K12" s="17">
        <f t="shared" si="1"/>
        <v>0</v>
      </c>
      <c r="L12" s="17" t="s">
        <v>56</v>
      </c>
      <c r="M12" s="16"/>
      <c r="N12" s="17"/>
      <c r="O12" s="18"/>
      <c r="P12" s="16"/>
      <c r="Q12" s="17"/>
      <c r="R12" s="18"/>
      <c r="S12" s="16"/>
      <c r="T12" s="17"/>
      <c r="U12" s="18"/>
      <c r="V12" s="16"/>
      <c r="W12" s="17"/>
      <c r="X12" s="18"/>
    </row>
    <row r="13" spans="2:24" ht="18.75">
      <c r="B13" s="9"/>
      <c r="D13" t="s">
        <v>20</v>
      </c>
      <c r="E13" s="10" t="s">
        <v>54</v>
      </c>
      <c r="F13" s="78">
        <f>SourceData!C13*AssumptionsConversionFactors!B8</f>
        <v>177.54079999999999</v>
      </c>
      <c r="G13" s="16">
        <v>0</v>
      </c>
      <c r="H13" s="17">
        <f t="shared" si="0"/>
        <v>0</v>
      </c>
      <c r="I13" s="18" t="s">
        <v>56</v>
      </c>
      <c r="J13" s="16">
        <v>0</v>
      </c>
      <c r="K13" s="17">
        <f t="shared" si="1"/>
        <v>0</v>
      </c>
      <c r="L13" s="17" t="s">
        <v>56</v>
      </c>
      <c r="M13" s="16"/>
      <c r="N13" s="17"/>
      <c r="O13" s="18"/>
      <c r="P13" s="16"/>
      <c r="Q13" s="17"/>
      <c r="R13" s="18"/>
      <c r="S13" s="16"/>
      <c r="T13" s="17"/>
      <c r="U13" s="18"/>
      <c r="V13" s="16"/>
      <c r="W13" s="17"/>
      <c r="X13" s="18"/>
    </row>
    <row r="14" spans="2:24" ht="18.75">
      <c r="B14" s="9"/>
      <c r="D14" t="s">
        <v>100</v>
      </c>
      <c r="E14" s="10"/>
      <c r="F14" s="78"/>
      <c r="G14" s="16"/>
      <c r="H14" s="17"/>
      <c r="I14" s="18"/>
      <c r="J14" s="16"/>
      <c r="K14" s="17"/>
      <c r="L14" s="17"/>
      <c r="M14" s="16"/>
      <c r="N14" s="17"/>
      <c r="O14" s="18"/>
      <c r="P14" s="16"/>
      <c r="Q14" s="17"/>
      <c r="R14" s="18"/>
      <c r="S14" s="16"/>
      <c r="T14" s="17"/>
      <c r="U14" s="18"/>
      <c r="V14" s="16"/>
      <c r="W14" s="17"/>
      <c r="X14" s="18"/>
    </row>
    <row r="15" spans="2:24">
      <c r="B15" s="9"/>
      <c r="C15" t="s">
        <v>79</v>
      </c>
      <c r="E15" s="10"/>
      <c r="F15" s="18"/>
      <c r="G15" s="16"/>
      <c r="H15" s="17"/>
      <c r="I15" s="18"/>
      <c r="J15" s="16"/>
      <c r="K15" s="17"/>
      <c r="L15" s="17"/>
      <c r="M15" s="16"/>
      <c r="N15" s="17"/>
      <c r="O15" s="18"/>
      <c r="P15" s="16"/>
      <c r="Q15" s="17"/>
      <c r="R15" s="18"/>
      <c r="S15" s="16"/>
      <c r="T15" s="17"/>
      <c r="U15" s="18"/>
      <c r="V15" s="16"/>
      <c r="W15" s="17"/>
      <c r="X15" s="18"/>
    </row>
    <row r="16" spans="2:24">
      <c r="B16" s="9"/>
      <c r="D16" t="s">
        <v>49</v>
      </c>
      <c r="E16" s="10" t="s">
        <v>63</v>
      </c>
      <c r="F16" s="17">
        <f>F5+(F6*AssumptionsConversionFactors!B13*(1/1000)*(1/1000))+(F8*AssumptionsConversionFactors!B14*(1/1000)*(1/1000))</f>
        <v>9.328127027519999</v>
      </c>
      <c r="G16" s="16">
        <f>G5+(G6*AssumptionsConversionFactors!B13*(1/1000)*(1/1000))+(SMR_comparison!G8*AssumptionsConversionFactors!B14*(1/1000)*(1/1000))</f>
        <v>0</v>
      </c>
      <c r="H16" s="19">
        <f>G16/$F$16</f>
        <v>0</v>
      </c>
      <c r="I16" s="18" t="s">
        <v>56</v>
      </c>
      <c r="J16" s="16">
        <f>J5+(J6*AssumptionsConversionFactors!E11*(1/1000)*(1/1000))+(SMR_comparison!J8*AssumptionsConversionFactors!E12*(1/1000)*(1/1000))</f>
        <v>0</v>
      </c>
      <c r="K16" s="19">
        <f>J16/$F$16</f>
        <v>0</v>
      </c>
      <c r="L16" s="19" t="s">
        <v>56</v>
      </c>
      <c r="M16" s="16">
        <f>M5+(M6*AssumptionsConversionFactors!H11*(1/1000)*(1/1000))+(SMR_comparison!M8*AssumptionsConversionFactors!H12*(1/1000)*(1/1000))</f>
        <v>20.180246315400002</v>
      </c>
      <c r="N16" s="19">
        <f>M16/$F$16</f>
        <v>2.1633760192012712</v>
      </c>
      <c r="O16" s="18" t="s">
        <v>56</v>
      </c>
      <c r="P16" s="16">
        <f>P5+(P6*AssumptionsConversionFactors!K11*(1/1000)*(1/1000))+(SMR_comparison!P8*AssumptionsConversionFactors!K12*(1/1000)*(1/1000))</f>
        <v>50.920399042218001</v>
      </c>
      <c r="Q16" s="19">
        <f>P16/$F$16</f>
        <v>5.4588020609058789</v>
      </c>
      <c r="R16" s="18" t="s">
        <v>56</v>
      </c>
      <c r="S16" s="16">
        <f>S5+(S6*AssumptionsConversionFactors!N11*(1/1000)*(1/1000))+(SMR_comparison!S8*AssumptionsConversionFactors!N12*(1/1000)*(1/1000))</f>
        <v>21.160490592600002</v>
      </c>
      <c r="T16" s="19">
        <f>S16/$F$16</f>
        <v>2.2684608099966868</v>
      </c>
      <c r="U16" s="18" t="s">
        <v>56</v>
      </c>
      <c r="V16" s="16">
        <f>V5+(V6*AssumptionsConversionFactors!Q11*(1/1000)*(1/1000))+(SMR_comparison!V8*AssumptionsConversionFactors!Q12*(1/1000)*(1/1000))</f>
        <v>0</v>
      </c>
      <c r="W16" s="19">
        <f>V16/$F$16</f>
        <v>0</v>
      </c>
      <c r="X16" s="18" t="s">
        <v>56</v>
      </c>
    </row>
    <row r="17" spans="2:24">
      <c r="B17" s="9"/>
      <c r="D17" t="s">
        <v>119</v>
      </c>
      <c r="E17" s="10"/>
      <c r="F17" s="80" t="str">
        <f>ROUND(F16/SourceData!C51,1)&amp;" x"</f>
        <v>20.7 x</v>
      </c>
      <c r="G17" s="16"/>
      <c r="H17" s="19">
        <f>ROUND(G16/SourceData!C51,1)</f>
        <v>0</v>
      </c>
      <c r="I17" s="18" t="s">
        <v>56</v>
      </c>
      <c r="J17" s="16"/>
      <c r="K17" s="19">
        <f>ROUND(J16/SourceData!C51,1)</f>
        <v>0</v>
      </c>
      <c r="L17" s="19" t="s">
        <v>56</v>
      </c>
      <c r="M17" s="16"/>
      <c r="N17" s="19">
        <f>ROUND(M16/SourceData!C51,1)</f>
        <v>44.8</v>
      </c>
      <c r="O17" s="18" t="s">
        <v>56</v>
      </c>
      <c r="P17" s="16"/>
      <c r="Q17" s="19">
        <f>ROUND(P16/SourceData!C51,1)</f>
        <v>113.2</v>
      </c>
      <c r="R17" s="18" t="s">
        <v>56</v>
      </c>
      <c r="S17" s="16"/>
      <c r="T17" s="19">
        <f>ROUND(S16/SourceData!C51,1)</f>
        <v>47</v>
      </c>
      <c r="U17" s="18" t="s">
        <v>56</v>
      </c>
      <c r="V17" s="16"/>
      <c r="W17" s="19">
        <f>ROUND(W16/SourceData!C51,1)</f>
        <v>0</v>
      </c>
      <c r="X17" s="18" t="s">
        <v>56</v>
      </c>
    </row>
    <row r="18" spans="2:24" ht="18" customHeight="1">
      <c r="B18" s="9"/>
      <c r="C18" t="s">
        <v>50</v>
      </c>
      <c r="E18" s="10" t="s">
        <v>54</v>
      </c>
      <c r="F18" s="18">
        <v>0</v>
      </c>
      <c r="G18" s="16" t="s">
        <v>33</v>
      </c>
      <c r="H18" s="17"/>
      <c r="I18" s="18"/>
      <c r="J18" s="16" t="s">
        <v>33</v>
      </c>
      <c r="K18" s="17"/>
      <c r="L18" s="17"/>
      <c r="M18" s="16"/>
      <c r="N18" s="17"/>
      <c r="O18" s="18"/>
      <c r="P18" s="16" t="s">
        <v>33</v>
      </c>
      <c r="Q18" s="17"/>
      <c r="R18" s="18"/>
      <c r="S18" s="16" t="s">
        <v>33</v>
      </c>
      <c r="T18" s="17"/>
      <c r="U18" s="18"/>
      <c r="V18" s="16">
        <f>SourceData!O15*AssumptionsConversionFactors!B3*(1/1000)</f>
        <v>8.5608000000000004</v>
      </c>
      <c r="W18" s="20" t="s">
        <v>57</v>
      </c>
      <c r="X18" s="18" t="s">
        <v>56</v>
      </c>
    </row>
    <row r="19" spans="2:24" ht="18.75">
      <c r="B19" s="9"/>
      <c r="C19" s="84" t="s">
        <v>125</v>
      </c>
      <c r="D19" s="84"/>
      <c r="E19" s="34" t="s">
        <v>55</v>
      </c>
      <c r="F19" s="77">
        <f>SourceData!C34+(SourceData!C28*(1/1000)*AssumptionsConversionFactors!B3*AssumptionsConversionFactors!B15)</f>
        <v>20.661232000000002</v>
      </c>
      <c r="G19" s="35">
        <f>SourceData!C39+(SourceData!D22*(1/1000)*AssumptionsConversionFactors!B3*AssumptionsConversionFactors!B15)</f>
        <v>17.5</v>
      </c>
      <c r="H19" s="36">
        <f>G19/F19</f>
        <v>0.84699692641755331</v>
      </c>
      <c r="I19" s="37" t="s">
        <v>56</v>
      </c>
      <c r="J19" s="35">
        <f>SourceData!C39+(SourceData!D23*(1/1000)*AssumptionsConversionFactors!B3*AssumptionsConversionFactors!B15)</f>
        <v>18.627388103765568</v>
      </c>
      <c r="K19" s="36">
        <f>J19/F19</f>
        <v>0.9015623126329334</v>
      </c>
      <c r="L19" s="36" t="s">
        <v>56</v>
      </c>
      <c r="M19" s="35"/>
      <c r="N19" s="36"/>
      <c r="O19" s="37"/>
      <c r="P19" s="35">
        <f>SourceData!C39+(SourceData!D19*(1/1000)*AssumptionsConversionFactors!B3*AssumptionsConversionFactors!B15)</f>
        <v>153.16236848645693</v>
      </c>
      <c r="Q19" s="48">
        <f>P19/F19</f>
        <v>7.4130317343349574</v>
      </c>
      <c r="R19" s="37" t="s">
        <v>56</v>
      </c>
      <c r="S19" s="35">
        <f>SourceData!C39+(SourceData!D20*(1/1000)*AssumptionsConversionFactors!B3*AssumptionsConversionFactors!B15)</f>
        <v>59.025461822031829</v>
      </c>
      <c r="T19" s="49">
        <f>S19/F19</f>
        <v>2.8568219853507197</v>
      </c>
      <c r="U19" s="18" t="s">
        <v>56</v>
      </c>
      <c r="V19" s="16"/>
      <c r="W19" s="17"/>
      <c r="X19" s="18"/>
    </row>
    <row r="20" spans="2:24">
      <c r="B20" s="9"/>
      <c r="C20" t="s">
        <v>72</v>
      </c>
      <c r="E20" s="10" t="s">
        <v>73</v>
      </c>
      <c r="F20" s="81">
        <f>SourceData!C48*AssumptionsConversionFactors!B17</f>
        <v>187183.22986666663</v>
      </c>
      <c r="G20" s="16" t="s">
        <v>33</v>
      </c>
      <c r="H20" s="17"/>
      <c r="I20" s="18"/>
      <c r="J20" s="16" t="s">
        <v>33</v>
      </c>
      <c r="K20" s="17"/>
      <c r="L20" s="19"/>
      <c r="M20" s="16"/>
      <c r="N20" s="17"/>
      <c r="O20" s="18"/>
      <c r="P20" s="23">
        <f>SourceData!C44*AssumptionsConversionFactors!B3</f>
        <v>557965.80000000005</v>
      </c>
      <c r="Q20" s="17">
        <f>P20/F20</f>
        <v>2.9808535753841157</v>
      </c>
      <c r="R20" s="18" t="s">
        <v>56</v>
      </c>
      <c r="S20" s="23">
        <f>SourceData!C43*AssumptionsConversionFactors!B3</f>
        <v>404028</v>
      </c>
      <c r="T20" s="17">
        <f>S20/F20</f>
        <v>2.1584625945806954</v>
      </c>
      <c r="U20" s="18" t="s">
        <v>56</v>
      </c>
      <c r="V20" s="23">
        <f>SourceData!C45*AssumptionsConversionFactors!B5</f>
        <v>446129.60000000003</v>
      </c>
      <c r="W20" s="17">
        <f>V20/F20</f>
        <v>2.3833844533924577</v>
      </c>
      <c r="X20" s="18" t="s">
        <v>56</v>
      </c>
    </row>
    <row r="21" spans="2:24" ht="18.75">
      <c r="B21" s="11"/>
      <c r="C21" s="50" t="s">
        <v>52</v>
      </c>
      <c r="D21" s="50"/>
      <c r="E21" s="51"/>
      <c r="F21" s="82">
        <f>AssumptionsConversionFactors!B17/SMR_comparison!F20</f>
        <v>0.71839080459770122</v>
      </c>
      <c r="G21" s="47">
        <f>AssumptionsConversionFactors!B17*(1/AssumptionsConversionFactors!B16)*(1/AssumptionsConversionFactors!B3)</f>
        <v>0.75500212856534676</v>
      </c>
      <c r="H21" s="45" t="s">
        <v>124</v>
      </c>
      <c r="I21" s="46"/>
      <c r="J21" s="47">
        <f>AssumptionsConversionFactors!B17*(1/AssumptionsConversionFactors!B16)*(1/AssumptionsConversionFactors!B3)</f>
        <v>0.75500212856534676</v>
      </c>
      <c r="K21" s="45" t="s">
        <v>124</v>
      </c>
      <c r="L21" s="45"/>
      <c r="M21" s="44"/>
      <c r="N21" s="45"/>
      <c r="O21" s="46"/>
      <c r="P21" s="47">
        <f>AssumptionsConversionFactors!B17/SMR_comparison!P20</f>
        <v>0.24100170854756886</v>
      </c>
      <c r="Q21" s="45">
        <f>P21/F21</f>
        <v>0.3354743782982158</v>
      </c>
      <c r="R21" s="46" t="s">
        <v>56</v>
      </c>
      <c r="S21" s="47">
        <f>AssumptionsConversionFactors!B17/SMR_comparison!S20</f>
        <v>0.33282522773449141</v>
      </c>
      <c r="T21" s="21">
        <f>S21/F21</f>
        <v>0.463292717006412</v>
      </c>
      <c r="U21" s="22" t="s">
        <v>56</v>
      </c>
      <c r="V21" s="26">
        <f>AssumptionsConversionFactors!B17/SMR_comparison!V20</f>
        <v>0.30141625014594658</v>
      </c>
      <c r="W21" s="65">
        <f>V21/F21</f>
        <v>0.41957142020315763</v>
      </c>
      <c r="X21" s="22" t="s">
        <v>56</v>
      </c>
    </row>
    <row r="22" spans="2:24" ht="15" customHeight="1"/>
    <row r="23" spans="2:24" ht="15" customHeight="1">
      <c r="D23" s="71" t="s">
        <v>123</v>
      </c>
    </row>
    <row r="24" spans="2:24">
      <c r="D24" t="s">
        <v>127</v>
      </c>
    </row>
    <row r="25" spans="2:24">
      <c r="D25" t="s">
        <v>126</v>
      </c>
    </row>
  </sheetData>
  <mergeCells count="3">
    <mergeCell ref="G3:U3"/>
    <mergeCell ref="V3:X3"/>
    <mergeCell ref="C2:X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92AD-8957-4B0B-9F31-1F5134DCCF87}">
  <dimension ref="A2:D17"/>
  <sheetViews>
    <sheetView workbookViewId="0">
      <selection activeCell="F23" sqref="F23"/>
    </sheetView>
  </sheetViews>
  <sheetFormatPr defaultColWidth="8.85546875" defaultRowHeight="15"/>
  <cols>
    <col min="1" max="1" width="41.140625" bestFit="1" customWidth="1"/>
    <col min="2" max="2" width="11.42578125" bestFit="1" customWidth="1"/>
    <col min="3" max="3" width="15.85546875" bestFit="1" customWidth="1"/>
  </cols>
  <sheetData>
    <row r="2" spans="1:4">
      <c r="A2" s="1" t="s">
        <v>0</v>
      </c>
      <c r="B2" t="s">
        <v>10</v>
      </c>
      <c r="C2" t="s">
        <v>5</v>
      </c>
      <c r="D2" t="s">
        <v>6</v>
      </c>
    </row>
    <row r="3" spans="1:4">
      <c r="A3" t="s">
        <v>8</v>
      </c>
      <c r="B3" s="25">
        <v>52.2</v>
      </c>
      <c r="C3" t="s">
        <v>9</v>
      </c>
      <c r="D3" s="62">
        <f>Sources!B12</f>
        <v>10</v>
      </c>
    </row>
    <row r="4" spans="1:4">
      <c r="B4" s="56">
        <f>(1/B3)*1000</f>
        <v>19.157088122605362</v>
      </c>
      <c r="C4" t="s">
        <v>11</v>
      </c>
      <c r="D4" s="62"/>
    </row>
    <row r="5" spans="1:4">
      <c r="A5" t="s">
        <v>78</v>
      </c>
      <c r="B5" s="25">
        <v>42.7</v>
      </c>
      <c r="C5" t="s">
        <v>9</v>
      </c>
      <c r="D5" s="62">
        <f>Sources!B11</f>
        <v>9</v>
      </c>
    </row>
    <row r="6" spans="1:4">
      <c r="B6" s="24"/>
    </row>
    <row r="7" spans="1:4">
      <c r="A7" s="1" t="s">
        <v>1</v>
      </c>
      <c r="B7" s="58" t="s">
        <v>4</v>
      </c>
      <c r="C7" t="s">
        <v>5</v>
      </c>
      <c r="D7" t="s">
        <v>6</v>
      </c>
    </row>
    <row r="8" spans="1:4">
      <c r="A8" t="s">
        <v>121</v>
      </c>
      <c r="B8" s="72">
        <v>119.96</v>
      </c>
      <c r="C8" t="s">
        <v>2</v>
      </c>
      <c r="D8">
        <f>Sources!B3</f>
        <v>1</v>
      </c>
    </row>
    <row r="9" spans="1:4">
      <c r="A9" t="s">
        <v>104</v>
      </c>
      <c r="B9" s="57">
        <v>141.88</v>
      </c>
      <c r="C9" t="s">
        <v>2</v>
      </c>
      <c r="D9">
        <f>Sources!B3</f>
        <v>1</v>
      </c>
    </row>
    <row r="10" spans="1:4">
      <c r="A10" t="s">
        <v>43</v>
      </c>
      <c r="B10" s="57">
        <v>264.17200000000003</v>
      </c>
      <c r="C10" t="s">
        <v>44</v>
      </c>
    </row>
    <row r="11" spans="1:4">
      <c r="A11" t="s">
        <v>12</v>
      </c>
      <c r="B11" s="57">
        <v>453.59</v>
      </c>
      <c r="C11" t="s">
        <v>7</v>
      </c>
    </row>
    <row r="12" spans="1:4">
      <c r="A12" t="s">
        <v>46</v>
      </c>
      <c r="B12" s="59">
        <f>1/0.27778</f>
        <v>3.5999712002303976</v>
      </c>
      <c r="C12" t="s">
        <v>45</v>
      </c>
    </row>
    <row r="13" spans="1:4">
      <c r="A13" t="s">
        <v>61</v>
      </c>
      <c r="B13" s="60">
        <v>25</v>
      </c>
      <c r="C13" t="s">
        <v>58</v>
      </c>
      <c r="D13">
        <f>Sources!B8</f>
        <v>6</v>
      </c>
    </row>
    <row r="14" spans="1:4">
      <c r="A14" t="s">
        <v>60</v>
      </c>
      <c r="B14" s="60">
        <v>298</v>
      </c>
      <c r="C14" t="s">
        <v>62</v>
      </c>
      <c r="D14">
        <f>Sources!B8</f>
        <v>6</v>
      </c>
    </row>
    <row r="15" spans="1:4">
      <c r="A15" t="s">
        <v>64</v>
      </c>
      <c r="B15" s="57">
        <v>3.7850000000000001</v>
      </c>
      <c r="C15" t="s">
        <v>65</v>
      </c>
    </row>
    <row r="16" spans="1:4">
      <c r="A16" t="s">
        <v>102</v>
      </c>
      <c r="B16" s="25">
        <v>3412</v>
      </c>
      <c r="C16" t="s">
        <v>71</v>
      </c>
    </row>
    <row r="17" spans="1:3">
      <c r="A17" t="s">
        <v>74</v>
      </c>
      <c r="B17" s="61">
        <f>B9*(1/3.6)*B16</f>
        <v>134470.7111111111</v>
      </c>
      <c r="C17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97ED-1BF5-4BD2-A774-63950C3A6B59}">
  <dimension ref="B2:W51"/>
  <sheetViews>
    <sheetView topLeftCell="H1" workbookViewId="0">
      <selection activeCell="L5" sqref="L5:L9"/>
    </sheetView>
  </sheetViews>
  <sheetFormatPr defaultColWidth="8.85546875" defaultRowHeight="15"/>
  <cols>
    <col min="1" max="1" width="2.85546875" customWidth="1"/>
    <col min="2" max="2" width="25.28515625" customWidth="1"/>
    <col min="4" max="4" width="17.42578125" customWidth="1"/>
    <col min="5" max="5" width="6.85546875" bestFit="1" customWidth="1"/>
    <col min="8" max="8" width="6.85546875" bestFit="1" customWidth="1"/>
    <col min="11" max="11" width="6.85546875" bestFit="1" customWidth="1"/>
    <col min="14" max="14" width="6.85546875" bestFit="1" customWidth="1"/>
    <col min="17" max="17" width="6.85546875" bestFit="1" customWidth="1"/>
    <col min="20" max="20" width="6.85546875" bestFit="1" customWidth="1"/>
    <col min="23" max="23" width="6.85546875" bestFit="1" customWidth="1"/>
  </cols>
  <sheetData>
    <row r="2" spans="2:23">
      <c r="B2" s="1" t="s">
        <v>35</v>
      </c>
    </row>
    <row r="3" spans="2:23">
      <c r="B3" s="6"/>
      <c r="C3" s="156" t="s">
        <v>23</v>
      </c>
      <c r="D3" s="157"/>
      <c r="E3" s="158"/>
      <c r="F3" s="156" t="s">
        <v>25</v>
      </c>
      <c r="G3" s="157"/>
      <c r="H3" s="158"/>
      <c r="I3" s="156" t="s">
        <v>26</v>
      </c>
      <c r="J3" s="157"/>
      <c r="K3" s="158"/>
      <c r="L3" s="156" t="s">
        <v>27</v>
      </c>
      <c r="M3" s="157"/>
      <c r="N3" s="158"/>
      <c r="O3" s="156" t="s">
        <v>28</v>
      </c>
      <c r="P3" s="157"/>
      <c r="Q3" s="158"/>
      <c r="R3" s="156" t="s">
        <v>29</v>
      </c>
      <c r="S3" s="157"/>
      <c r="T3" s="158"/>
      <c r="U3" s="156" t="s">
        <v>30</v>
      </c>
      <c r="V3" s="157"/>
      <c r="W3" s="158"/>
    </row>
    <row r="4" spans="2:23">
      <c r="B4" s="7"/>
      <c r="C4" s="9"/>
      <c r="E4" s="10" t="s">
        <v>6</v>
      </c>
      <c r="F4" s="9"/>
      <c r="H4" s="10" t="s">
        <v>6</v>
      </c>
      <c r="I4" s="9"/>
      <c r="K4" s="10" t="s">
        <v>6</v>
      </c>
      <c r="L4" s="9"/>
      <c r="N4" s="10" t="s">
        <v>6</v>
      </c>
      <c r="O4" s="9"/>
      <c r="Q4" s="10" t="s">
        <v>6</v>
      </c>
      <c r="R4" s="9"/>
      <c r="T4" s="10" t="s">
        <v>6</v>
      </c>
      <c r="U4" s="9"/>
      <c r="W4" s="10" t="s">
        <v>6</v>
      </c>
    </row>
    <row r="5" spans="2:23">
      <c r="B5" s="7" t="s">
        <v>13</v>
      </c>
      <c r="C5" s="9">
        <v>77.739999999999995</v>
      </c>
      <c r="D5" t="s">
        <v>66</v>
      </c>
      <c r="E5" s="10">
        <f>Sources!B4</f>
        <v>2</v>
      </c>
      <c r="F5" s="9">
        <v>852.3</v>
      </c>
      <c r="G5" t="s">
        <v>31</v>
      </c>
      <c r="H5" s="10">
        <f>Sources!B5</f>
        <v>3</v>
      </c>
      <c r="I5" s="9">
        <v>2150.5909999999999</v>
      </c>
      <c r="J5" t="s">
        <v>31</v>
      </c>
      <c r="K5" s="10">
        <f>Sources!B5</f>
        <v>3</v>
      </c>
      <c r="L5" s="9">
        <v>893.7</v>
      </c>
      <c r="M5" t="s">
        <v>31</v>
      </c>
      <c r="N5" s="10">
        <f>Sources!B5</f>
        <v>3</v>
      </c>
      <c r="O5" s="9">
        <v>0</v>
      </c>
      <c r="Q5" s="10"/>
      <c r="R5" s="9">
        <v>0</v>
      </c>
      <c r="T5" s="10"/>
      <c r="U5" s="9">
        <v>0</v>
      </c>
      <c r="W5" s="10"/>
    </row>
    <row r="6" spans="2:23">
      <c r="B6" s="7" t="s">
        <v>14</v>
      </c>
      <c r="C6" s="9">
        <v>0.28799999999999998</v>
      </c>
      <c r="D6" t="s">
        <v>67</v>
      </c>
      <c r="E6" s="10">
        <f>Sources!B4</f>
        <v>2</v>
      </c>
      <c r="F6" s="9">
        <v>7.0999999999999994E-2</v>
      </c>
      <c r="G6" t="s">
        <v>31</v>
      </c>
      <c r="H6" s="10">
        <f>Sources!B5</f>
        <v>3</v>
      </c>
      <c r="I6" s="9">
        <v>0.2394</v>
      </c>
      <c r="J6" t="s">
        <v>31</v>
      </c>
      <c r="K6" s="10">
        <f>Sources!B5</f>
        <v>3</v>
      </c>
      <c r="L6" s="9">
        <v>1.72E-2</v>
      </c>
      <c r="M6" t="s">
        <v>31</v>
      </c>
      <c r="N6" s="10">
        <f>Sources!B5</f>
        <v>3</v>
      </c>
      <c r="O6" s="9">
        <v>0</v>
      </c>
      <c r="Q6" s="10"/>
      <c r="R6" s="9">
        <v>0</v>
      </c>
      <c r="T6" s="10"/>
      <c r="U6" s="9">
        <v>0</v>
      </c>
      <c r="W6" s="10"/>
    </row>
    <row r="7" spans="2:23">
      <c r="B7" s="7" t="s">
        <v>16</v>
      </c>
      <c r="C7" s="9">
        <v>6.5</v>
      </c>
      <c r="D7" t="s">
        <v>67</v>
      </c>
      <c r="E7" s="10">
        <f>Sources!B4</f>
        <v>2</v>
      </c>
      <c r="F7" s="9">
        <v>0.52500000000000002</v>
      </c>
      <c r="G7" t="s">
        <v>31</v>
      </c>
      <c r="H7" s="10">
        <f>Sources!B5</f>
        <v>3</v>
      </c>
      <c r="I7" s="9">
        <v>1.327</v>
      </c>
      <c r="J7" t="s">
        <v>31</v>
      </c>
      <c r="K7" s="10">
        <f>Sources!B5</f>
        <v>3</v>
      </c>
      <c r="L7" s="9">
        <v>0.41399999999999998</v>
      </c>
      <c r="M7" t="s">
        <v>31</v>
      </c>
      <c r="N7" s="10">
        <f>Sources!B5</f>
        <v>3</v>
      </c>
      <c r="O7" s="9">
        <v>0</v>
      </c>
      <c r="Q7" s="10"/>
      <c r="R7" s="9">
        <v>0</v>
      </c>
      <c r="T7" s="10"/>
      <c r="U7" s="9">
        <v>0</v>
      </c>
      <c r="W7" s="10"/>
    </row>
    <row r="8" spans="2:23">
      <c r="B8" s="7" t="s">
        <v>15</v>
      </c>
      <c r="C8" s="9">
        <v>4.3999999999999997E-2</v>
      </c>
      <c r="D8" t="s">
        <v>67</v>
      </c>
      <c r="E8" s="10">
        <f>Sources!B4</f>
        <v>2</v>
      </c>
      <c r="F8" s="9">
        <v>0.01</v>
      </c>
      <c r="G8" t="s">
        <v>31</v>
      </c>
      <c r="H8" s="10">
        <f>Sources!B5</f>
        <v>3</v>
      </c>
      <c r="I8" s="9">
        <v>3.4799999999999998E-2</v>
      </c>
      <c r="J8" t="s">
        <v>31</v>
      </c>
      <c r="K8" s="10">
        <f>Sources!B5</f>
        <v>3</v>
      </c>
      <c r="L8" s="9">
        <v>1.8E-3</v>
      </c>
      <c r="M8" t="s">
        <v>31</v>
      </c>
      <c r="N8" s="10">
        <f>Sources!B5</f>
        <v>3</v>
      </c>
      <c r="O8" s="9">
        <v>0</v>
      </c>
      <c r="Q8" s="10"/>
      <c r="R8" s="9">
        <v>0</v>
      </c>
      <c r="T8" s="10"/>
      <c r="U8" s="9">
        <v>0</v>
      </c>
      <c r="W8" s="10"/>
    </row>
    <row r="9" spans="2:23">
      <c r="B9" s="7" t="s">
        <v>17</v>
      </c>
      <c r="C9" s="9">
        <v>0.39</v>
      </c>
      <c r="D9" t="s">
        <v>67</v>
      </c>
      <c r="E9" s="10">
        <f>Sources!B4</f>
        <v>2</v>
      </c>
      <c r="F9" s="9">
        <v>0.53100000000000003</v>
      </c>
      <c r="G9" t="s">
        <v>31</v>
      </c>
      <c r="H9" s="10">
        <f>Sources!B5</f>
        <v>3</v>
      </c>
      <c r="I9" s="9">
        <v>2.0030000000000001</v>
      </c>
      <c r="J9" t="s">
        <v>31</v>
      </c>
      <c r="K9" s="10">
        <f>Sources!B5</f>
        <v>3</v>
      </c>
      <c r="L9" s="9">
        <v>2.1000000000000001E-2</v>
      </c>
      <c r="M9" t="s">
        <v>31</v>
      </c>
      <c r="N9" s="10">
        <f>Sources!B5</f>
        <v>3</v>
      </c>
      <c r="O9" s="9">
        <v>0</v>
      </c>
      <c r="Q9" s="10"/>
      <c r="R9" s="9">
        <v>0</v>
      </c>
      <c r="T9" s="10"/>
      <c r="U9" s="9">
        <v>0</v>
      </c>
      <c r="W9" s="10"/>
    </row>
    <row r="10" spans="2:23">
      <c r="B10" s="7" t="s">
        <v>18</v>
      </c>
      <c r="C10" s="9">
        <v>2.0099999999999998</v>
      </c>
      <c r="D10" t="s">
        <v>67</v>
      </c>
      <c r="E10" s="10">
        <f>Sources!B4</f>
        <v>2</v>
      </c>
      <c r="F10" s="9"/>
      <c r="H10" s="10"/>
      <c r="I10" s="9"/>
      <c r="K10" s="10"/>
      <c r="L10" s="9"/>
      <c r="N10" s="10"/>
      <c r="O10" s="9">
        <v>0</v>
      </c>
      <c r="Q10" s="10"/>
      <c r="R10" s="9">
        <v>0</v>
      </c>
      <c r="T10" s="10"/>
      <c r="U10" s="9">
        <v>0</v>
      </c>
      <c r="W10" s="10"/>
    </row>
    <row r="11" spans="2:23">
      <c r="B11" s="7" t="s">
        <v>19</v>
      </c>
      <c r="C11" s="9">
        <v>2.0499999999999998</v>
      </c>
      <c r="D11" t="s">
        <v>67</v>
      </c>
      <c r="E11" s="10">
        <f>Sources!B4</f>
        <v>2</v>
      </c>
      <c r="F11" s="9"/>
      <c r="H11" s="10"/>
      <c r="I11" s="9"/>
      <c r="K11" s="10"/>
      <c r="L11" s="9"/>
      <c r="N11" s="10"/>
      <c r="O11" s="9">
        <v>0</v>
      </c>
      <c r="Q11" s="10"/>
      <c r="R11" s="9">
        <v>0</v>
      </c>
      <c r="T11" s="10"/>
      <c r="U11" s="9">
        <v>0</v>
      </c>
      <c r="W11" s="10"/>
    </row>
    <row r="12" spans="2:23">
      <c r="B12" s="7" t="s">
        <v>47</v>
      </c>
      <c r="C12" s="9">
        <v>3.67</v>
      </c>
      <c r="D12" t="s">
        <v>67</v>
      </c>
      <c r="E12" s="10">
        <f>Sources!B4</f>
        <v>2</v>
      </c>
      <c r="F12" s="9"/>
      <c r="H12" s="10"/>
      <c r="I12" s="9"/>
      <c r="K12" s="10"/>
      <c r="L12" s="9"/>
      <c r="N12" s="10"/>
      <c r="O12" s="9">
        <v>0</v>
      </c>
      <c r="Q12" s="10"/>
      <c r="R12" s="9">
        <v>0</v>
      </c>
      <c r="T12" s="10"/>
      <c r="U12" s="9">
        <v>0</v>
      </c>
      <c r="W12" s="10"/>
    </row>
    <row r="13" spans="2:23">
      <c r="B13" s="7" t="s">
        <v>20</v>
      </c>
      <c r="C13" s="9">
        <v>1.48</v>
      </c>
      <c r="D13" t="s">
        <v>67</v>
      </c>
      <c r="E13" s="10">
        <f>Sources!B4</f>
        <v>2</v>
      </c>
      <c r="F13" s="9"/>
      <c r="H13" s="10"/>
      <c r="I13" s="9"/>
      <c r="K13" s="10"/>
      <c r="L13" s="9"/>
      <c r="N13" s="10"/>
      <c r="O13" s="9">
        <v>0</v>
      </c>
      <c r="Q13" s="10"/>
      <c r="R13" s="9">
        <v>0</v>
      </c>
      <c r="T13" s="10"/>
      <c r="U13" s="9">
        <v>0</v>
      </c>
      <c r="W13" s="10"/>
    </row>
    <row r="14" spans="2:23">
      <c r="B14" s="7" t="s">
        <v>21</v>
      </c>
      <c r="C14" s="9"/>
      <c r="E14" s="10"/>
      <c r="F14" s="9"/>
      <c r="H14" s="10"/>
      <c r="I14" s="9"/>
      <c r="K14" s="10"/>
      <c r="L14" s="9"/>
      <c r="N14" s="10"/>
      <c r="O14" s="9">
        <v>0</v>
      </c>
      <c r="Q14" s="10"/>
      <c r="R14" s="9">
        <v>0</v>
      </c>
      <c r="T14" s="10"/>
      <c r="U14" s="9">
        <v>0</v>
      </c>
      <c r="W14" s="10"/>
    </row>
    <row r="15" spans="2:23">
      <c r="B15" s="8" t="s">
        <v>22</v>
      </c>
      <c r="C15" s="11" t="s">
        <v>33</v>
      </c>
      <c r="D15" s="12"/>
      <c r="E15" s="13"/>
      <c r="F15" s="11"/>
      <c r="G15" s="12"/>
      <c r="H15" s="13"/>
      <c r="I15" s="11" t="s">
        <v>33</v>
      </c>
      <c r="J15" s="12"/>
      <c r="K15" s="13"/>
      <c r="L15" s="11" t="s">
        <v>33</v>
      </c>
      <c r="M15" s="12"/>
      <c r="N15" s="13"/>
      <c r="O15" s="11">
        <v>164</v>
      </c>
      <c r="P15" s="12" t="s">
        <v>24</v>
      </c>
      <c r="Q15" s="63" t="str">
        <f>Sources!B5&amp;", "&amp;Sources!B6</f>
        <v>3, 4</v>
      </c>
      <c r="R15" s="11" t="s">
        <v>33</v>
      </c>
      <c r="S15" s="12"/>
      <c r="T15" s="13"/>
      <c r="U15" s="11" t="s">
        <v>33</v>
      </c>
      <c r="V15" s="12"/>
      <c r="W15" s="13"/>
    </row>
    <row r="17" spans="2:6">
      <c r="B17" s="1" t="s">
        <v>92</v>
      </c>
    </row>
    <row r="18" spans="2:6">
      <c r="C18" t="s">
        <v>37</v>
      </c>
      <c r="D18" t="s">
        <v>38</v>
      </c>
      <c r="E18" t="s">
        <v>101</v>
      </c>
      <c r="F18" t="s">
        <v>42</v>
      </c>
    </row>
    <row r="19" spans="2:6">
      <c r="B19" t="s">
        <v>26</v>
      </c>
      <c r="C19" s="2">
        <v>0.72199999999999998</v>
      </c>
      <c r="D19" s="3">
        <f>C19*AssumptionsConversionFactors!$B$10*AssumptionsConversionFactors!$B$12</f>
        <v>686.63036935704508</v>
      </c>
      <c r="E19" t="s">
        <v>39</v>
      </c>
      <c r="F19">
        <f>Sources!B7</f>
        <v>5</v>
      </c>
    </row>
    <row r="20" spans="2:6">
      <c r="B20" t="s">
        <v>36</v>
      </c>
      <c r="C20" s="2">
        <v>0.221</v>
      </c>
      <c r="D20" s="3">
        <f>C20*AssumptionsConversionFactors!$B$10*AssumptionsConversionFactors!$B$12</f>
        <v>210.17356181150549</v>
      </c>
      <c r="E20" t="s">
        <v>40</v>
      </c>
      <c r="F20">
        <f>Sources!B7</f>
        <v>5</v>
      </c>
    </row>
    <row r="21" spans="2:6">
      <c r="B21" t="s">
        <v>28</v>
      </c>
      <c r="C21" s="2">
        <v>0.75700000000000001</v>
      </c>
      <c r="D21" s="3">
        <f>C21*AssumptionsConversionFactors!$B$10*AssumptionsConversionFactors!$B$12</f>
        <v>719.91577507379941</v>
      </c>
      <c r="E21" t="s">
        <v>39</v>
      </c>
      <c r="F21">
        <f>Sources!B7</f>
        <v>5</v>
      </c>
    </row>
    <row r="22" spans="2:6">
      <c r="B22" t="s">
        <v>29</v>
      </c>
      <c r="C22" s="2">
        <v>0</v>
      </c>
      <c r="D22" s="3">
        <f>C22*AssumptionsConversionFactors!$B$10*AssumptionsConversionFactors!$B$12</f>
        <v>0</v>
      </c>
      <c r="F22">
        <f>Sources!B7</f>
        <v>5</v>
      </c>
    </row>
    <row r="23" spans="2:6">
      <c r="B23" t="s">
        <v>30</v>
      </c>
      <c r="C23" s="2">
        <v>6.0000000000000001E-3</v>
      </c>
      <c r="D23" s="3">
        <f>C23*AssumptionsConversionFactors!$B$10*AssumptionsConversionFactors!$B$12</f>
        <v>5.706069551443588</v>
      </c>
      <c r="F23">
        <f>Sources!B7</f>
        <v>5</v>
      </c>
    </row>
    <row r="24" spans="2:6">
      <c r="B24" t="s">
        <v>95</v>
      </c>
    </row>
    <row r="26" spans="2:6">
      <c r="B26" s="1" t="s">
        <v>93</v>
      </c>
    </row>
    <row r="27" spans="2:6">
      <c r="B27" s="1"/>
      <c r="C27" t="s">
        <v>38</v>
      </c>
      <c r="D27" t="s">
        <v>42</v>
      </c>
    </row>
    <row r="28" spans="2:6">
      <c r="B28" t="s">
        <v>36</v>
      </c>
      <c r="C28" s="2">
        <v>16</v>
      </c>
      <c r="D28">
        <f>Sources!B14</f>
        <v>12</v>
      </c>
    </row>
    <row r="29" spans="2:6">
      <c r="B29" t="s">
        <v>26</v>
      </c>
      <c r="C29" s="2">
        <v>22</v>
      </c>
      <c r="D29">
        <f>Sources!B14</f>
        <v>12</v>
      </c>
    </row>
    <row r="31" spans="2:6">
      <c r="B31" s="1" t="s">
        <v>81</v>
      </c>
    </row>
    <row r="32" spans="2:6">
      <c r="C32" t="s">
        <v>83</v>
      </c>
      <c r="D32" t="s">
        <v>6</v>
      </c>
    </row>
    <row r="33" spans="2:5">
      <c r="B33" t="s">
        <v>82</v>
      </c>
      <c r="C33" s="2">
        <v>31</v>
      </c>
      <c r="D33">
        <f>Sources!B13</f>
        <v>11</v>
      </c>
    </row>
    <row r="34" spans="2:5">
      <c r="B34" t="s">
        <v>84</v>
      </c>
      <c r="C34" s="2">
        <v>17.5</v>
      </c>
      <c r="D34">
        <f>Sources!B13</f>
        <v>11</v>
      </c>
    </row>
    <row r="35" spans="2:5">
      <c r="B35" t="s">
        <v>85</v>
      </c>
      <c r="C35" s="2">
        <v>49.4</v>
      </c>
      <c r="D35">
        <f>Sources!B13</f>
        <v>11</v>
      </c>
    </row>
    <row r="36" spans="2:5">
      <c r="B36" t="s">
        <v>86</v>
      </c>
      <c r="C36" s="2">
        <v>32.200000000000003</v>
      </c>
      <c r="D36">
        <f>Sources!B13</f>
        <v>11</v>
      </c>
    </row>
    <row r="37" spans="2:5">
      <c r="B37" t="s">
        <v>87</v>
      </c>
      <c r="C37" s="2">
        <v>24.2</v>
      </c>
      <c r="D37">
        <f>Sources!B13</f>
        <v>11</v>
      </c>
    </row>
    <row r="38" spans="2:5">
      <c r="B38" t="s">
        <v>88</v>
      </c>
      <c r="C38" s="2">
        <v>22.3</v>
      </c>
      <c r="D38">
        <f>Sources!B13</f>
        <v>11</v>
      </c>
    </row>
    <row r="39" spans="2:5">
      <c r="B39" t="s">
        <v>89</v>
      </c>
      <c r="C39" s="2">
        <v>17.5</v>
      </c>
      <c r="D39">
        <f>Sources!B13</f>
        <v>11</v>
      </c>
    </row>
    <row r="41" spans="2:5">
      <c r="B41" s="1" t="s">
        <v>68</v>
      </c>
    </row>
    <row r="42" spans="2:5">
      <c r="B42" t="s">
        <v>69</v>
      </c>
      <c r="C42" t="s">
        <v>10</v>
      </c>
      <c r="D42" t="s">
        <v>5</v>
      </c>
      <c r="E42" t="s">
        <v>6</v>
      </c>
    </row>
    <row r="43" spans="2:5">
      <c r="B43" t="s">
        <v>36</v>
      </c>
      <c r="C43" s="2">
        <v>7740</v>
      </c>
      <c r="D43" t="s">
        <v>71</v>
      </c>
      <c r="E43">
        <f>Sources!B9</f>
        <v>7</v>
      </c>
    </row>
    <row r="44" spans="2:5">
      <c r="B44" t="s">
        <v>26</v>
      </c>
      <c r="C44" s="2">
        <v>10689</v>
      </c>
      <c r="D44" t="s">
        <v>71</v>
      </c>
      <c r="E44">
        <f>Sources!B9</f>
        <v>7</v>
      </c>
    </row>
    <row r="45" spans="2:5">
      <c r="B45" t="s">
        <v>28</v>
      </c>
      <c r="C45" s="2">
        <v>10448</v>
      </c>
      <c r="D45" t="s">
        <v>71</v>
      </c>
      <c r="E45">
        <f>Sources!B9</f>
        <v>7</v>
      </c>
    </row>
    <row r="47" spans="2:5">
      <c r="B47" s="1" t="s">
        <v>96</v>
      </c>
    </row>
    <row r="48" spans="2:5">
      <c r="B48" t="s">
        <v>76</v>
      </c>
      <c r="C48" s="2">
        <v>1.3919999999999999</v>
      </c>
      <c r="D48" t="s">
        <v>77</v>
      </c>
      <c r="E48">
        <f>Sources!B10</f>
        <v>8</v>
      </c>
    </row>
    <row r="50" spans="2:5">
      <c r="B50" s="1" t="s">
        <v>116</v>
      </c>
    </row>
    <row r="51" spans="2:5">
      <c r="B51" t="s">
        <v>117</v>
      </c>
      <c r="C51" s="2">
        <v>0.45</v>
      </c>
      <c r="D51" t="s">
        <v>118</v>
      </c>
      <c r="E51">
        <f>Sources!B15</f>
        <v>13</v>
      </c>
    </row>
  </sheetData>
  <mergeCells count="7">
    <mergeCell ref="U3:W3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D6BAB-C0FC-41D7-AC06-88ECB5D6092A}">
  <dimension ref="A2:Q15"/>
  <sheetViews>
    <sheetView workbookViewId="0">
      <selection activeCell="C5" sqref="C5"/>
    </sheetView>
  </sheetViews>
  <sheetFormatPr defaultColWidth="8.85546875" defaultRowHeight="15"/>
  <cols>
    <col min="1" max="1" width="2.85546875" customWidth="1"/>
    <col min="2" max="2" width="3.42578125" customWidth="1"/>
    <col min="3" max="3" width="20.42578125" customWidth="1"/>
  </cols>
  <sheetData>
    <row r="2" spans="1:17" ht="15" customHeight="1">
      <c r="C2" t="s">
        <v>120</v>
      </c>
    </row>
    <row r="3" spans="1:17">
      <c r="A3" s="70"/>
      <c r="B3">
        <v>1</v>
      </c>
      <c r="C3" t="s">
        <v>3</v>
      </c>
    </row>
    <row r="4" spans="1:17">
      <c r="B4">
        <f>B3+1</f>
        <v>2</v>
      </c>
      <c r="C4" s="4" t="s">
        <v>32</v>
      </c>
    </row>
    <row r="5" spans="1:17">
      <c r="B5">
        <f t="shared" ref="B5:B15" si="0">B4+1</f>
        <v>3</v>
      </c>
      <c r="C5" s="5" t="s">
        <v>149</v>
      </c>
    </row>
    <row r="6" spans="1:17">
      <c r="B6">
        <f t="shared" si="0"/>
        <v>4</v>
      </c>
      <c r="C6" s="5" t="s">
        <v>34</v>
      </c>
    </row>
    <row r="7" spans="1:17">
      <c r="B7">
        <f t="shared" si="0"/>
        <v>5</v>
      </c>
      <c r="C7" s="4" t="s">
        <v>41</v>
      </c>
    </row>
    <row r="8" spans="1:17">
      <c r="B8">
        <f t="shared" si="0"/>
        <v>6</v>
      </c>
      <c r="C8" t="s">
        <v>59</v>
      </c>
    </row>
    <row r="9" spans="1:17">
      <c r="B9">
        <f t="shared" si="0"/>
        <v>7</v>
      </c>
      <c r="C9" s="33" t="s">
        <v>70</v>
      </c>
    </row>
    <row r="10" spans="1:17">
      <c r="B10">
        <f>B9+1</f>
        <v>8</v>
      </c>
      <c r="C10" s="33" t="s">
        <v>94</v>
      </c>
    </row>
    <row r="11" spans="1:17">
      <c r="B11">
        <f t="shared" si="0"/>
        <v>9</v>
      </c>
      <c r="C11" s="33" t="s">
        <v>99</v>
      </c>
    </row>
    <row r="12" spans="1:17">
      <c r="B12">
        <f t="shared" si="0"/>
        <v>10</v>
      </c>
      <c r="C12" s="33" t="s">
        <v>80</v>
      </c>
      <c r="P12" s="54"/>
      <c r="Q12" s="53"/>
    </row>
    <row r="13" spans="1:17">
      <c r="B13">
        <f t="shared" si="0"/>
        <v>11</v>
      </c>
      <c r="C13" t="s">
        <v>90</v>
      </c>
      <c r="P13" s="54"/>
      <c r="Q13" s="53"/>
    </row>
    <row r="14" spans="1:17">
      <c r="B14">
        <f t="shared" si="0"/>
        <v>12</v>
      </c>
      <c r="C14" t="s">
        <v>91</v>
      </c>
    </row>
    <row r="15" spans="1:17">
      <c r="B15">
        <f t="shared" si="0"/>
        <v>13</v>
      </c>
      <c r="C15" t="s">
        <v>145</v>
      </c>
    </row>
  </sheetData>
  <hyperlinks>
    <hyperlink ref="C4" r:id="rId1" xr:uid="{E51A5ECF-28C9-450A-B7C8-5F544F4CEECF}"/>
    <hyperlink ref="C7" r:id="rId2" xr:uid="{2B8B6B38-922D-4ECC-A11F-D1452915C2EA}"/>
    <hyperlink ref="C9" r:id="rId3" xr:uid="{C2FA0016-7471-B941-88B0-CEB1202E93B3}"/>
    <hyperlink ref="C12" r:id="rId4" xr:uid="{6F4B743E-189A-6048-80C6-5A3153D9AA0A}"/>
    <hyperlink ref="C11" r:id="rId5" xr:uid="{A6B29433-8F5B-46F1-A7B3-D60C168836F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8B510-9C7C-4F62-A698-6DDADF728B5B}">
  <dimension ref="A2:P10"/>
  <sheetViews>
    <sheetView zoomScaleNormal="100" workbookViewId="0">
      <selection activeCell="O18" sqref="O18"/>
    </sheetView>
  </sheetViews>
  <sheetFormatPr defaultColWidth="8.85546875" defaultRowHeight="15"/>
  <cols>
    <col min="1" max="1" width="5.140625" customWidth="1"/>
    <col min="2" max="2" width="30.7109375" customWidth="1"/>
    <col min="3" max="3" width="11" customWidth="1"/>
    <col min="4" max="4" width="12.28515625" customWidth="1"/>
    <col min="5" max="5" width="4.28515625" customWidth="1"/>
    <col min="6" max="6" width="14" customWidth="1"/>
    <col min="9" max="9" width="10.42578125" bestFit="1" customWidth="1"/>
    <col min="11" max="11" width="10.42578125" bestFit="1" customWidth="1"/>
    <col min="13" max="13" width="4.28515625" customWidth="1"/>
    <col min="14" max="14" width="30.140625" customWidth="1"/>
    <col min="16" max="16" width="17.28515625" customWidth="1"/>
  </cols>
  <sheetData>
    <row r="2" spans="1:16" ht="23.25">
      <c r="B2" s="90" t="s">
        <v>135</v>
      </c>
      <c r="F2" s="90" t="s">
        <v>110</v>
      </c>
      <c r="N2" s="90" t="s">
        <v>131</v>
      </c>
    </row>
    <row r="3" spans="1:16" ht="12" customHeight="1">
      <c r="B3" s="90"/>
      <c r="F3" s="90"/>
      <c r="N3" s="90"/>
    </row>
    <row r="4" spans="1:16">
      <c r="F4" s="115"/>
      <c r="G4" s="144" t="s">
        <v>111</v>
      </c>
      <c r="H4" s="144"/>
      <c r="I4" s="143" t="s">
        <v>112</v>
      </c>
      <c r="J4" s="145"/>
      <c r="K4" s="144" t="s">
        <v>113</v>
      </c>
      <c r="L4" s="145"/>
      <c r="N4" s="115"/>
      <c r="O4" s="143" t="s">
        <v>146</v>
      </c>
      <c r="P4" s="145"/>
    </row>
    <row r="5" spans="1:16" ht="23.1" customHeight="1">
      <c r="B5" s="98" t="s">
        <v>134</v>
      </c>
      <c r="C5" s="98" t="s">
        <v>106</v>
      </c>
      <c r="D5" s="99" t="s">
        <v>107</v>
      </c>
      <c r="F5" s="116" t="s">
        <v>136</v>
      </c>
      <c r="G5" s="117" t="s">
        <v>53</v>
      </c>
      <c r="H5" s="117" t="s">
        <v>115</v>
      </c>
      <c r="I5" s="118" t="s">
        <v>54</v>
      </c>
      <c r="J5" s="119" t="s">
        <v>115</v>
      </c>
      <c r="K5" s="117" t="s">
        <v>54</v>
      </c>
      <c r="L5" s="119" t="s">
        <v>115</v>
      </c>
      <c r="N5" s="116" t="s">
        <v>136</v>
      </c>
      <c r="O5" s="118" t="s">
        <v>53</v>
      </c>
      <c r="P5" s="120" t="s">
        <v>132</v>
      </c>
    </row>
    <row r="6" spans="1:16" ht="18.75">
      <c r="A6" s="91"/>
      <c r="B6" s="137" t="s">
        <v>105</v>
      </c>
      <c r="C6" s="93">
        <f>1-SMR_comparison!F21</f>
        <v>0.28160919540229878</v>
      </c>
      <c r="D6" s="94">
        <f>1-C6</f>
        <v>0.71839080459770122</v>
      </c>
      <c r="F6" s="64" t="s">
        <v>26</v>
      </c>
      <c r="G6" s="101">
        <f>SMR_comparison!P5</f>
        <v>50.920399042218001</v>
      </c>
      <c r="H6" s="102">
        <f>SMR_comparison!Q5</f>
        <v>5.4602283432246477</v>
      </c>
      <c r="I6" s="111">
        <f>SMR_comparison!P7</f>
        <v>31419.907146000005</v>
      </c>
      <c r="J6" s="104">
        <f>SMR_comparison!Q7</f>
        <v>40.295364026470367</v>
      </c>
      <c r="K6" s="103">
        <f>SMR_comparison!P9</f>
        <v>47425.828194000002</v>
      </c>
      <c r="L6" s="104">
        <f>SMR_comparison!Q9</f>
        <v>1013.7103007412728</v>
      </c>
      <c r="N6" s="64" t="s">
        <v>26</v>
      </c>
      <c r="O6" s="138">
        <f>SMR_comparison!P16</f>
        <v>50.920399042218001</v>
      </c>
      <c r="P6" s="104">
        <f>+O6/SourceData!C51</f>
        <v>113.15644231604</v>
      </c>
    </row>
    <row r="7" spans="1:16" ht="18.75">
      <c r="A7" s="91"/>
      <c r="B7" s="113" t="s">
        <v>26</v>
      </c>
      <c r="C7" s="92">
        <f>1-SMR_comparison!P21</f>
        <v>0.75899829145243114</v>
      </c>
      <c r="D7" s="95">
        <f t="shared" ref="D7:D8" si="0">1-C7</f>
        <v>0.24100170854756886</v>
      </c>
      <c r="F7" s="64" t="s">
        <v>114</v>
      </c>
      <c r="G7" s="101">
        <f>SMR_comparison!S5</f>
        <v>21.160490592600002</v>
      </c>
      <c r="H7" s="102">
        <f>SMR_comparison!T5</f>
        <v>2.2690535161450356</v>
      </c>
      <c r="I7" s="111">
        <f>SMR_comparison!S7</f>
        <v>9802.4427720000003</v>
      </c>
      <c r="J7" s="104">
        <f>SMR_comparison!T7</f>
        <v>12.571424798009593</v>
      </c>
      <c r="K7" s="103">
        <f>SMR_comparison!S9</f>
        <v>497.22535800000003</v>
      </c>
      <c r="L7" s="104">
        <f>SMR_comparison!T9</f>
        <v>10.628016133582991</v>
      </c>
      <c r="N7" s="64" t="s">
        <v>114</v>
      </c>
      <c r="O7" s="138">
        <f>SMR_comparison!S16</f>
        <v>21.160490592600002</v>
      </c>
      <c r="P7" s="104">
        <f>+O7/SourceData!C51</f>
        <v>47.023312428000004</v>
      </c>
    </row>
    <row r="8" spans="1:16" ht="18.75">
      <c r="A8" s="91"/>
      <c r="B8" s="113" t="s">
        <v>108</v>
      </c>
      <c r="C8" s="92">
        <f>1-SMR_comparison!S21</f>
        <v>0.66717477226550859</v>
      </c>
      <c r="D8" s="95">
        <f t="shared" si="0"/>
        <v>0.33282522773449141</v>
      </c>
      <c r="F8" s="64" t="s">
        <v>23</v>
      </c>
      <c r="G8" s="101">
        <f>SMR_comparison!F5</f>
        <v>9.3256903999999992</v>
      </c>
      <c r="H8" s="105"/>
      <c r="I8" s="111">
        <f>SMR_comparison!F7</f>
        <v>779.74</v>
      </c>
      <c r="J8" s="107"/>
      <c r="K8" s="106">
        <f>SMR_comparison!F9</f>
        <v>46.784399999999998</v>
      </c>
      <c r="L8" s="107"/>
      <c r="N8" s="64" t="s">
        <v>23</v>
      </c>
      <c r="O8" s="138">
        <f>SMR_comparison!F16</f>
        <v>9.328127027519999</v>
      </c>
      <c r="P8" s="104">
        <f>+O8/SourceData!C51</f>
        <v>20.729171172266664</v>
      </c>
    </row>
    <row r="9" spans="1:16" ht="18.75">
      <c r="A9" s="91"/>
      <c r="B9" s="110" t="s">
        <v>109</v>
      </c>
      <c r="C9" s="96">
        <f>1-D9</f>
        <v>0.24499787143465324</v>
      </c>
      <c r="D9" s="97">
        <f>Summary!F9</f>
        <v>0.75500212856534676</v>
      </c>
      <c r="F9" s="69" t="s">
        <v>109</v>
      </c>
      <c r="G9" s="108">
        <v>0</v>
      </c>
      <c r="H9" s="89"/>
      <c r="I9" s="112">
        <v>0</v>
      </c>
      <c r="J9" s="100"/>
      <c r="K9" s="109">
        <v>0</v>
      </c>
      <c r="L9" s="100"/>
      <c r="N9" s="64" t="s">
        <v>133</v>
      </c>
      <c r="O9" s="138">
        <f>SourceData!C51</f>
        <v>0.45</v>
      </c>
      <c r="P9" s="107"/>
    </row>
    <row r="10" spans="1:16" ht="21" customHeight="1">
      <c r="N10" s="69" t="s">
        <v>109</v>
      </c>
      <c r="O10" s="139">
        <f>+G9</f>
        <v>0</v>
      </c>
      <c r="P10" s="114">
        <f>+O10/SourceData!C51</f>
        <v>0</v>
      </c>
    </row>
  </sheetData>
  <mergeCells count="4">
    <mergeCell ref="G4:H4"/>
    <mergeCell ref="I4:J4"/>
    <mergeCell ref="K4:L4"/>
    <mergeCell ref="O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SMR_comparison</vt:lpstr>
      <vt:lpstr>AssumptionsConversionFactors</vt:lpstr>
      <vt:lpstr>SourceData</vt:lpstr>
      <vt:lpstr>Sources</vt:lpstr>
      <vt:lpstr>GraphingValues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Alysa Suydam</dc:creator>
  <cp:lastModifiedBy>Alysa Suydam</cp:lastModifiedBy>
  <dcterms:created xsi:type="dcterms:W3CDTF">2023-06-26T16:31:10Z</dcterms:created>
  <dcterms:modified xsi:type="dcterms:W3CDTF">2024-07-25T19:10:00Z</dcterms:modified>
</cp:coreProperties>
</file>